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2923717\Desktop\파일정리\16. 판매실적\10월\판매실적\"/>
    </mc:Choice>
  </mc:AlternateContent>
  <xr:revisionPtr revIDLastSave="0" documentId="13_ncr:1_{A73C755D-1298-47B5-BF97-2C5E39BFACFE}" xr6:coauthVersionLast="47" xr6:coauthVersionMax="47" xr10:uidLastSave="{00000000-0000-0000-0000-000000000000}"/>
  <bookViews>
    <workbookView xWindow="45" yWindow="-16320" windowWidth="29040" windowHeight="15840" xr2:uid="{00000000-000D-0000-FFFF-FFFF00000000}"/>
  </bookViews>
  <sheets>
    <sheet name="종합" sheetId="29" r:id="rId1"/>
    <sheet name="10월" sheetId="25" r:id="rId2"/>
    <sheet name="내수" sheetId="3" r:id="rId3"/>
    <sheet name="⊙카메라" sheetId="2" r:id="rId4"/>
  </sheets>
  <externalReferences>
    <externalReference r:id="rId5"/>
  </externalReferences>
  <definedNames>
    <definedName name="_xlnm.Print_Area" localSheetId="3">⊙카메라!$A$64:$E$143</definedName>
    <definedName name="_xlnm.Print_Area" localSheetId="1">'10월'!$A$1:$M$68</definedName>
    <definedName name="_xlnm.Print_Area" localSheetId="2">내수!$B$1:$P$632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1" i="3" l="1"/>
  <c r="M28" i="3"/>
  <c r="M25" i="3"/>
  <c r="M24" i="3"/>
  <c r="M21" i="3"/>
  <c r="M20" i="3"/>
  <c r="M17" i="3"/>
  <c r="M16" i="3"/>
  <c r="M14" i="3"/>
  <c r="M13" i="3"/>
  <c r="M12" i="3"/>
  <c r="M10" i="3"/>
  <c r="M8" i="3"/>
  <c r="M7" i="3"/>
  <c r="M6" i="3"/>
  <c r="M5" i="3"/>
  <c r="J65" i="25"/>
  <c r="J56" i="25"/>
  <c r="J55" i="25"/>
  <c r="E56" i="25"/>
  <c r="E55" i="25"/>
  <c r="J31" i="25"/>
  <c r="J28" i="25"/>
  <c r="J25" i="25"/>
  <c r="J24" i="25"/>
  <c r="J21" i="25"/>
  <c r="J20" i="25"/>
  <c r="J17" i="25"/>
  <c r="J16" i="25"/>
  <c r="J15" i="25"/>
  <c r="J14" i="25"/>
  <c r="J13" i="25"/>
  <c r="J12" i="25"/>
  <c r="J10" i="25"/>
  <c r="J8" i="25"/>
  <c r="J7" i="25"/>
  <c r="J6" i="25"/>
  <c r="J5" i="25"/>
  <c r="E31" i="25"/>
  <c r="E28" i="25"/>
  <c r="E25" i="25"/>
  <c r="E24" i="25"/>
  <c r="E21" i="25"/>
  <c r="E20" i="25"/>
  <c r="E17" i="25"/>
  <c r="E16" i="25"/>
  <c r="E14" i="25"/>
  <c r="E13" i="25"/>
  <c r="E12" i="25"/>
  <c r="E11" i="25"/>
  <c r="E10" i="25"/>
  <c r="E8" i="25"/>
  <c r="E7" i="25"/>
  <c r="E6" i="25"/>
  <c r="E5" i="25"/>
  <c r="L31" i="3"/>
  <c r="L28" i="3"/>
  <c r="L25" i="3"/>
  <c r="L24" i="3"/>
  <c r="L21" i="3"/>
  <c r="L20" i="3"/>
  <c r="L17" i="3"/>
  <c r="L16" i="3"/>
  <c r="L14" i="3"/>
  <c r="L13" i="3"/>
  <c r="L12" i="3"/>
  <c r="L10" i="3"/>
  <c r="L8" i="3"/>
  <c r="L6" i="3"/>
  <c r="L5" i="3"/>
  <c r="K31" i="3"/>
  <c r="K28" i="3"/>
  <c r="K25" i="3"/>
  <c r="K24" i="3"/>
  <c r="K21" i="3"/>
  <c r="K20" i="3"/>
  <c r="K17" i="3"/>
  <c r="K16" i="3"/>
  <c r="K14" i="3"/>
  <c r="K13" i="3"/>
  <c r="K12" i="3"/>
  <c r="K10" i="3"/>
  <c r="K8" i="3"/>
  <c r="K6" i="3"/>
  <c r="K5" i="3"/>
  <c r="F21" i="25"/>
  <c r="H31" i="3"/>
  <c r="H28" i="3"/>
  <c r="H25" i="3"/>
  <c r="H24" i="3"/>
  <c r="H21" i="3"/>
  <c r="H20" i="3"/>
  <c r="H17" i="3"/>
  <c r="H16" i="3"/>
  <c r="H14" i="3"/>
  <c r="H13" i="3"/>
  <c r="H12" i="3"/>
  <c r="H10" i="3"/>
  <c r="H8" i="3"/>
  <c r="H6" i="3"/>
  <c r="H5" i="3"/>
  <c r="I23" i="25"/>
  <c r="I26" i="25"/>
  <c r="J26" i="25" l="1"/>
  <c r="J33" i="25"/>
  <c r="J23" i="25"/>
  <c r="J19" i="25"/>
  <c r="J9" i="25"/>
  <c r="F7" i="29"/>
  <c r="F20" i="25" l="1"/>
  <c r="P18" i="3"/>
  <c r="P69" i="3"/>
  <c r="K49" i="25"/>
  <c r="G49" i="25"/>
  <c r="F49" i="25"/>
  <c r="D31" i="2" l="1"/>
  <c r="C31" i="2"/>
  <c r="K54" i="25" l="1"/>
  <c r="G54" i="25"/>
  <c r="F54" i="25"/>
  <c r="K62" i="25"/>
  <c r="G62" i="25"/>
  <c r="F62" i="25"/>
  <c r="E3" i="2"/>
  <c r="G18" i="25" l="1"/>
  <c r="K17" i="25"/>
  <c r="G17" i="25"/>
  <c r="F17" i="25"/>
  <c r="F19" i="3"/>
  <c r="H19" i="3"/>
  <c r="I19" i="3"/>
  <c r="J19" i="3"/>
  <c r="K19" i="3"/>
  <c r="L19" i="3"/>
  <c r="M19" i="3"/>
  <c r="N19" i="3"/>
  <c r="O19" i="3"/>
  <c r="D19" i="3"/>
  <c r="G5" i="29"/>
  <c r="E19" i="3" l="1"/>
  <c r="J64" i="25"/>
  <c r="J52" i="25"/>
  <c r="J42" i="25"/>
  <c r="E64" i="25"/>
  <c r="E52" i="25"/>
  <c r="E42" i="25"/>
  <c r="E33" i="25"/>
  <c r="E26" i="25"/>
  <c r="E23" i="25"/>
  <c r="E19" i="25"/>
  <c r="E9" i="25"/>
  <c r="E88" i="3"/>
  <c r="F88" i="3"/>
  <c r="G88" i="3"/>
  <c r="H88" i="3"/>
  <c r="I88" i="3"/>
  <c r="J88" i="3"/>
  <c r="K88" i="3"/>
  <c r="L88" i="3"/>
  <c r="M88" i="3"/>
  <c r="N88" i="3"/>
  <c r="O88" i="3"/>
  <c r="D88" i="3"/>
  <c r="P70" i="3"/>
  <c r="P68" i="3"/>
  <c r="O67" i="3"/>
  <c r="N67" i="3"/>
  <c r="M67" i="3"/>
  <c r="L67" i="3"/>
  <c r="K67" i="3"/>
  <c r="J67" i="3"/>
  <c r="I67" i="3"/>
  <c r="H67" i="3"/>
  <c r="G67" i="3"/>
  <c r="F67" i="3"/>
  <c r="E67" i="3"/>
  <c r="D67" i="3"/>
  <c r="D25" i="2"/>
  <c r="D29" i="2"/>
  <c r="D22" i="2"/>
  <c r="D21" i="2"/>
  <c r="D19" i="2"/>
  <c r="J34" i="25" l="1"/>
  <c r="J67" i="25"/>
  <c r="P67" i="3"/>
  <c r="D30" i="2"/>
  <c r="C30" i="2"/>
  <c r="L64" i="25" l="1"/>
  <c r="L52" i="25"/>
  <c r="L42" i="25"/>
  <c r="H64" i="25"/>
  <c r="H52" i="25"/>
  <c r="H42" i="25"/>
  <c r="L33" i="25"/>
  <c r="L26" i="25"/>
  <c r="L23" i="25"/>
  <c r="L19" i="25"/>
  <c r="L9" i="25"/>
  <c r="H23" i="25"/>
  <c r="H33" i="25"/>
  <c r="H26" i="25"/>
  <c r="H19" i="25"/>
  <c r="H9" i="25"/>
  <c r="L34" i="25" l="1"/>
  <c r="L67" i="25"/>
  <c r="I64" i="25"/>
  <c r="I52" i="25"/>
  <c r="I42" i="25"/>
  <c r="I33" i="25"/>
  <c r="I19" i="25"/>
  <c r="I9" i="25"/>
  <c r="I34" i="25" l="1"/>
  <c r="I67" i="25"/>
  <c r="P90" i="3"/>
  <c r="P89" i="3"/>
  <c r="P86" i="3"/>
  <c r="P85" i="3"/>
  <c r="O84" i="3"/>
  <c r="N84" i="3"/>
  <c r="M84" i="3"/>
  <c r="L84" i="3"/>
  <c r="K84" i="3"/>
  <c r="J84" i="3"/>
  <c r="I84" i="3"/>
  <c r="H84" i="3"/>
  <c r="G84" i="3"/>
  <c r="F84" i="3"/>
  <c r="E84" i="3"/>
  <c r="D84" i="3"/>
  <c r="P82" i="3"/>
  <c r="P81" i="3"/>
  <c r="O80" i="3"/>
  <c r="N80" i="3"/>
  <c r="M80" i="3"/>
  <c r="L80" i="3"/>
  <c r="K80" i="3"/>
  <c r="J80" i="3"/>
  <c r="I80" i="3"/>
  <c r="H80" i="3"/>
  <c r="G80" i="3"/>
  <c r="F80" i="3"/>
  <c r="E80" i="3"/>
  <c r="D80" i="3"/>
  <c r="P78" i="3"/>
  <c r="P77" i="3"/>
  <c r="O76" i="3"/>
  <c r="N76" i="3"/>
  <c r="M76" i="3"/>
  <c r="L76" i="3"/>
  <c r="K76" i="3"/>
  <c r="J76" i="3"/>
  <c r="I76" i="3"/>
  <c r="H76" i="3"/>
  <c r="G76" i="3"/>
  <c r="F76" i="3"/>
  <c r="E76" i="3"/>
  <c r="D76" i="3"/>
  <c r="P74" i="3"/>
  <c r="P73" i="3"/>
  <c r="O72" i="3"/>
  <c r="N72" i="3"/>
  <c r="M72" i="3"/>
  <c r="L72" i="3"/>
  <c r="K72" i="3"/>
  <c r="J72" i="3"/>
  <c r="I72" i="3"/>
  <c r="H72" i="3"/>
  <c r="G72" i="3"/>
  <c r="F72" i="3"/>
  <c r="E72" i="3"/>
  <c r="D72" i="3"/>
  <c r="P65" i="3"/>
  <c r="P64" i="3"/>
  <c r="O63" i="3"/>
  <c r="N63" i="3"/>
  <c r="M63" i="3"/>
  <c r="L63" i="3"/>
  <c r="K63" i="3"/>
  <c r="J63" i="3"/>
  <c r="I63" i="3"/>
  <c r="H63" i="3"/>
  <c r="G63" i="3"/>
  <c r="F63" i="3"/>
  <c r="E63" i="3"/>
  <c r="D63" i="3"/>
  <c r="P61" i="3"/>
  <c r="P60" i="3"/>
  <c r="O59" i="3"/>
  <c r="N59" i="3"/>
  <c r="M59" i="3"/>
  <c r="L59" i="3"/>
  <c r="K59" i="3"/>
  <c r="J59" i="3"/>
  <c r="I59" i="3"/>
  <c r="H59" i="3"/>
  <c r="G59" i="3"/>
  <c r="F59" i="3"/>
  <c r="E59" i="3"/>
  <c r="D59" i="3"/>
  <c r="P57" i="3"/>
  <c r="P56" i="3"/>
  <c r="P55" i="3"/>
  <c r="O54" i="3"/>
  <c r="N54" i="3"/>
  <c r="M54" i="3"/>
  <c r="L54" i="3"/>
  <c r="K54" i="3"/>
  <c r="J54" i="3"/>
  <c r="I54" i="3"/>
  <c r="H54" i="3"/>
  <c r="G54" i="3"/>
  <c r="F54" i="3"/>
  <c r="E54" i="3"/>
  <c r="D54" i="3"/>
  <c r="P52" i="3"/>
  <c r="P51" i="3"/>
  <c r="O50" i="3"/>
  <c r="N50" i="3"/>
  <c r="M50" i="3"/>
  <c r="L50" i="3"/>
  <c r="K50" i="3"/>
  <c r="J50" i="3"/>
  <c r="I50" i="3"/>
  <c r="H50" i="3"/>
  <c r="G50" i="3"/>
  <c r="F50" i="3"/>
  <c r="E50" i="3"/>
  <c r="D50" i="3"/>
  <c r="P48" i="3"/>
  <c r="P47" i="3"/>
  <c r="O46" i="3"/>
  <c r="N46" i="3"/>
  <c r="M46" i="3"/>
  <c r="L46" i="3"/>
  <c r="K46" i="3"/>
  <c r="J46" i="3"/>
  <c r="I46" i="3"/>
  <c r="H46" i="3"/>
  <c r="G46" i="3"/>
  <c r="F46" i="3"/>
  <c r="E46" i="3"/>
  <c r="D46" i="3"/>
  <c r="P44" i="3"/>
  <c r="P43" i="3"/>
  <c r="P42" i="3"/>
  <c r="O41" i="3"/>
  <c r="N41" i="3"/>
  <c r="M41" i="3"/>
  <c r="L41" i="3"/>
  <c r="K41" i="3"/>
  <c r="J41" i="3"/>
  <c r="I41" i="3"/>
  <c r="H41" i="3"/>
  <c r="G41" i="3"/>
  <c r="F41" i="3"/>
  <c r="E41" i="3"/>
  <c r="D41" i="3"/>
  <c r="P39" i="3"/>
  <c r="P38" i="3"/>
  <c r="P37" i="3"/>
  <c r="O36" i="3"/>
  <c r="N36" i="3"/>
  <c r="M36" i="3"/>
  <c r="L36" i="3"/>
  <c r="K36" i="3"/>
  <c r="J36" i="3"/>
  <c r="I36" i="3"/>
  <c r="H36" i="3"/>
  <c r="G36" i="3"/>
  <c r="F36" i="3"/>
  <c r="E36" i="3"/>
  <c r="D36" i="3"/>
  <c r="O33" i="3"/>
  <c r="N33" i="3"/>
  <c r="M33" i="3"/>
  <c r="L33" i="3"/>
  <c r="K33" i="3"/>
  <c r="J33" i="3"/>
  <c r="I33" i="3"/>
  <c r="H33" i="3"/>
  <c r="F33" i="3"/>
  <c r="E33" i="3"/>
  <c r="D33" i="3"/>
  <c r="P32" i="3"/>
  <c r="P31" i="3"/>
  <c r="P30" i="3"/>
  <c r="P29" i="3"/>
  <c r="P28" i="3"/>
  <c r="P27" i="3"/>
  <c r="O26" i="3"/>
  <c r="N26" i="3"/>
  <c r="M26" i="3"/>
  <c r="L26" i="3"/>
  <c r="K26" i="3"/>
  <c r="J26" i="3"/>
  <c r="I26" i="3"/>
  <c r="H26" i="3"/>
  <c r="F26" i="3"/>
  <c r="E26" i="3"/>
  <c r="D26" i="3"/>
  <c r="P25" i="3"/>
  <c r="P24" i="3"/>
  <c r="O23" i="3"/>
  <c r="N23" i="3"/>
  <c r="M23" i="3"/>
  <c r="L23" i="3"/>
  <c r="K23" i="3"/>
  <c r="J23" i="3"/>
  <c r="I23" i="3"/>
  <c r="H23" i="3"/>
  <c r="F23" i="3"/>
  <c r="E23" i="3"/>
  <c r="D23" i="3"/>
  <c r="P22" i="3"/>
  <c r="P21" i="3"/>
  <c r="P20" i="3"/>
  <c r="P17" i="3"/>
  <c r="P16" i="3"/>
  <c r="P15" i="3"/>
  <c r="P14" i="3"/>
  <c r="P13" i="3"/>
  <c r="P12" i="3"/>
  <c r="P11" i="3"/>
  <c r="P10" i="3"/>
  <c r="O9" i="3"/>
  <c r="N9" i="3"/>
  <c r="M9" i="3"/>
  <c r="L9" i="3"/>
  <c r="K9" i="3"/>
  <c r="J9" i="3"/>
  <c r="I9" i="3"/>
  <c r="H9" i="3"/>
  <c r="F9" i="3"/>
  <c r="E9" i="3"/>
  <c r="D9" i="3"/>
  <c r="P8" i="3"/>
  <c r="P7" i="3"/>
  <c r="P6" i="3"/>
  <c r="P5" i="3"/>
  <c r="E14" i="2"/>
  <c r="E13" i="2"/>
  <c r="E12" i="2"/>
  <c r="E9" i="2"/>
  <c r="E8" i="2"/>
  <c r="E7" i="2"/>
  <c r="E4" i="2"/>
  <c r="P88" i="3" l="1"/>
  <c r="D34" i="3"/>
  <c r="P72" i="3"/>
  <c r="F34" i="3"/>
  <c r="P80" i="3"/>
  <c r="P76" i="3"/>
  <c r="P50" i="3"/>
  <c r="P46" i="3"/>
  <c r="P41" i="3"/>
  <c r="P84" i="3"/>
  <c r="P59" i="3"/>
  <c r="J34" i="3"/>
  <c r="P36" i="3"/>
  <c r="M34" i="3"/>
  <c r="P26" i="3"/>
  <c r="P54" i="3"/>
  <c r="E34" i="3"/>
  <c r="L34" i="3"/>
  <c r="K34" i="3"/>
  <c r="P9" i="3"/>
  <c r="O34" i="3"/>
  <c r="P63" i="3"/>
  <c r="P23" i="3"/>
  <c r="P33" i="3"/>
  <c r="H34" i="3"/>
  <c r="P19" i="3"/>
  <c r="I34" i="3"/>
  <c r="N34" i="3"/>
  <c r="E11" i="2"/>
  <c r="E10" i="2"/>
  <c r="C15" i="2"/>
  <c r="D15" i="2"/>
  <c r="E6" i="2"/>
  <c r="E5" i="2"/>
  <c r="D28" i="2"/>
  <c r="D27" i="2"/>
  <c r="C29" i="2"/>
  <c r="E15" i="2" l="1"/>
  <c r="P34" i="3"/>
  <c r="C28" i="2" l="1"/>
  <c r="K22" i="25" l="1"/>
  <c r="F22" i="25"/>
  <c r="E34" i="25" l="1"/>
  <c r="C27" i="2"/>
  <c r="H34" i="25" l="1"/>
  <c r="D26" i="2" l="1"/>
  <c r="D24" i="2"/>
  <c r="C26" i="2" l="1"/>
  <c r="E67" i="25" l="1"/>
  <c r="K34" i="25"/>
  <c r="I37" i="25" l="1"/>
  <c r="K55" i="25" l="1"/>
  <c r="G55" i="25"/>
  <c r="F55" i="25"/>
  <c r="P141" i="3"/>
  <c r="P140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25" i="2"/>
  <c r="P139" i="3" l="1"/>
  <c r="I4" i="25" l="1"/>
  <c r="E37" i="25"/>
  <c r="C24" i="2" l="1"/>
  <c r="D23" i="2"/>
  <c r="L37" i="25" l="1"/>
  <c r="C23" i="2" l="1"/>
  <c r="K61" i="25" l="1"/>
  <c r="G61" i="25"/>
  <c r="F61" i="25"/>
  <c r="G22" i="25"/>
  <c r="P110" i="3"/>
  <c r="E111" i="3"/>
  <c r="F111" i="3"/>
  <c r="G111" i="3"/>
  <c r="H111" i="3"/>
  <c r="I111" i="3"/>
  <c r="J111" i="3"/>
  <c r="K111" i="3"/>
  <c r="L111" i="3"/>
  <c r="M111" i="3"/>
  <c r="N111" i="3"/>
  <c r="O111" i="3"/>
  <c r="D111" i="3"/>
  <c r="P111" i="3" l="1"/>
  <c r="C22" i="2"/>
  <c r="H67" i="25" l="1"/>
  <c r="H37" i="25"/>
  <c r="K50" i="25" l="1"/>
  <c r="G50" i="25"/>
  <c r="F50" i="25"/>
  <c r="J8" i="29" l="1"/>
  <c r="F174" i="3" l="1"/>
  <c r="F173" i="3" s="1"/>
  <c r="P175" i="3"/>
  <c r="O173" i="3"/>
  <c r="N173" i="3"/>
  <c r="M173" i="3"/>
  <c r="L173" i="3"/>
  <c r="K173" i="3"/>
  <c r="J173" i="3"/>
  <c r="I173" i="3"/>
  <c r="H173" i="3"/>
  <c r="G173" i="3"/>
  <c r="E173" i="3"/>
  <c r="P132" i="3"/>
  <c r="P174" i="3" l="1"/>
  <c r="P173" i="3" s="1"/>
  <c r="D20" i="2"/>
  <c r="J37" i="25" l="1"/>
  <c r="D46" i="2" l="1"/>
  <c r="D45" i="2"/>
  <c r="D42" i="2"/>
  <c r="E5" i="29" l="1"/>
  <c r="I8" i="29"/>
  <c r="G8" i="29"/>
  <c r="E8" i="29"/>
  <c r="D8" i="29"/>
  <c r="K7" i="29"/>
  <c r="H7" i="29"/>
  <c r="K6" i="29"/>
  <c r="H6" i="29"/>
  <c r="F6" i="29"/>
  <c r="J5" i="29"/>
  <c r="I5" i="29"/>
  <c r="I4" i="29"/>
  <c r="J4" i="29" s="1"/>
  <c r="E4" i="29"/>
  <c r="H8" i="29" l="1"/>
  <c r="K8" i="29"/>
  <c r="F8" i="29"/>
  <c r="D143" i="2" l="1"/>
  <c r="C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D127" i="2"/>
  <c r="C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D111" i="2"/>
  <c r="C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D95" i="2"/>
  <c r="C95" i="2"/>
  <c r="E94" i="2"/>
  <c r="E93" i="2"/>
  <c r="E92" i="2"/>
  <c r="E91" i="2"/>
  <c r="E90" i="2"/>
  <c r="E89" i="2"/>
  <c r="E88" i="2"/>
  <c r="E87" i="2"/>
  <c r="E86" i="2"/>
  <c r="E85" i="2"/>
  <c r="E84" i="2"/>
  <c r="E83" i="2"/>
  <c r="C79" i="2"/>
  <c r="D78" i="2"/>
  <c r="E78" i="2" s="1"/>
  <c r="D77" i="2"/>
  <c r="E77" i="2" s="1"/>
  <c r="D76" i="2"/>
  <c r="E76" i="2" s="1"/>
  <c r="D75" i="2"/>
  <c r="E75" i="2" s="1"/>
  <c r="D74" i="2"/>
  <c r="E74" i="2" s="1"/>
  <c r="D73" i="2"/>
  <c r="E73" i="2" s="1"/>
  <c r="D72" i="2"/>
  <c r="E72" i="2" s="1"/>
  <c r="D71" i="2"/>
  <c r="E71" i="2" s="1"/>
  <c r="D70" i="2"/>
  <c r="E70" i="2" s="1"/>
  <c r="D69" i="2"/>
  <c r="E69" i="2" s="1"/>
  <c r="D68" i="2"/>
  <c r="E68" i="2" s="1"/>
  <c r="D67" i="2"/>
  <c r="E67" i="2" s="1"/>
  <c r="C63" i="2"/>
  <c r="E62" i="2"/>
  <c r="D61" i="2"/>
  <c r="E61" i="2" s="1"/>
  <c r="D60" i="2"/>
  <c r="E60" i="2" s="1"/>
  <c r="D59" i="2"/>
  <c r="E59" i="2" s="1"/>
  <c r="D58" i="2"/>
  <c r="E58" i="2" s="1"/>
  <c r="D57" i="2"/>
  <c r="E57" i="2" s="1"/>
  <c r="D56" i="2"/>
  <c r="E56" i="2" s="1"/>
  <c r="D55" i="2"/>
  <c r="E55" i="2" s="1"/>
  <c r="D54" i="2"/>
  <c r="E54" i="2" s="1"/>
  <c r="D53" i="2"/>
  <c r="E53" i="2" s="1"/>
  <c r="D52" i="2"/>
  <c r="E52" i="2" s="1"/>
  <c r="D51" i="2"/>
  <c r="E51" i="2" s="1"/>
  <c r="C47" i="2"/>
  <c r="E46" i="2"/>
  <c r="E45" i="2"/>
  <c r="D44" i="2"/>
  <c r="E44" i="2" s="1"/>
  <c r="D43" i="2"/>
  <c r="E43" i="2" s="1"/>
  <c r="E42" i="2"/>
  <c r="D41" i="2"/>
  <c r="E41" i="2" s="1"/>
  <c r="D40" i="2"/>
  <c r="E40" i="2" s="1"/>
  <c r="D39" i="2"/>
  <c r="E39" i="2" s="1"/>
  <c r="D38" i="2"/>
  <c r="E38" i="2" s="1"/>
  <c r="D37" i="2"/>
  <c r="E37" i="2" s="1"/>
  <c r="D36" i="2"/>
  <c r="D35" i="2"/>
  <c r="E35" i="2" s="1"/>
  <c r="E30" i="2"/>
  <c r="E29" i="2"/>
  <c r="E28" i="2"/>
  <c r="E27" i="2"/>
  <c r="E26" i="2"/>
  <c r="E25" i="2"/>
  <c r="E24" i="2"/>
  <c r="E23" i="2"/>
  <c r="E22" i="2"/>
  <c r="E21" i="2"/>
  <c r="E20" i="2"/>
  <c r="E19" i="2"/>
  <c r="P631" i="3"/>
  <c r="P630" i="3"/>
  <c r="O629" i="3"/>
  <c r="N629" i="3"/>
  <c r="M629" i="3"/>
  <c r="L629" i="3"/>
  <c r="K629" i="3"/>
  <c r="J629" i="3"/>
  <c r="I629" i="3"/>
  <c r="H629" i="3"/>
  <c r="G629" i="3"/>
  <c r="F629" i="3"/>
  <c r="E629" i="3"/>
  <c r="D629" i="3"/>
  <c r="P627" i="3"/>
  <c r="P626" i="3"/>
  <c r="P625" i="3"/>
  <c r="O624" i="3"/>
  <c r="N624" i="3"/>
  <c r="M624" i="3"/>
  <c r="L624" i="3"/>
  <c r="K624" i="3"/>
  <c r="J624" i="3"/>
  <c r="I624" i="3"/>
  <c r="H624" i="3"/>
  <c r="G624" i="3"/>
  <c r="F624" i="3"/>
  <c r="E624" i="3"/>
  <c r="D624" i="3"/>
  <c r="P622" i="3"/>
  <c r="P621" i="3"/>
  <c r="P620" i="3"/>
  <c r="P619" i="3"/>
  <c r="O618" i="3"/>
  <c r="N618" i="3"/>
  <c r="M618" i="3"/>
  <c r="L618" i="3"/>
  <c r="K618" i="3"/>
  <c r="J618" i="3"/>
  <c r="I618" i="3"/>
  <c r="H618" i="3"/>
  <c r="G618" i="3"/>
  <c r="F618" i="3"/>
  <c r="E618" i="3"/>
  <c r="D618" i="3"/>
  <c r="O615" i="3"/>
  <c r="N615" i="3"/>
  <c r="M615" i="3"/>
  <c r="L615" i="3"/>
  <c r="K615" i="3"/>
  <c r="J615" i="3"/>
  <c r="I615" i="3"/>
  <c r="H615" i="3"/>
  <c r="G615" i="3"/>
  <c r="F615" i="3"/>
  <c r="E615" i="3"/>
  <c r="D615" i="3"/>
  <c r="P614" i="3"/>
  <c r="P613" i="3"/>
  <c r="P612" i="3"/>
  <c r="O611" i="3"/>
  <c r="N611" i="3"/>
  <c r="M611" i="3"/>
  <c r="L611" i="3"/>
  <c r="K611" i="3"/>
  <c r="J611" i="3"/>
  <c r="I611" i="3"/>
  <c r="H611" i="3"/>
  <c r="G611" i="3"/>
  <c r="F611" i="3"/>
  <c r="E611" i="3"/>
  <c r="D611" i="3"/>
  <c r="P610" i="3"/>
  <c r="P609" i="3"/>
  <c r="O608" i="3"/>
  <c r="N608" i="3"/>
  <c r="M608" i="3"/>
  <c r="L608" i="3"/>
  <c r="K608" i="3"/>
  <c r="J608" i="3"/>
  <c r="I608" i="3"/>
  <c r="H608" i="3"/>
  <c r="G608" i="3"/>
  <c r="F608" i="3"/>
  <c r="E608" i="3"/>
  <c r="D608" i="3"/>
  <c r="P607" i="3"/>
  <c r="P606" i="3"/>
  <c r="O605" i="3"/>
  <c r="N605" i="3"/>
  <c r="M605" i="3"/>
  <c r="L605" i="3"/>
  <c r="K605" i="3"/>
  <c r="J605" i="3"/>
  <c r="I605" i="3"/>
  <c r="H605" i="3"/>
  <c r="G605" i="3"/>
  <c r="F605" i="3"/>
  <c r="E605" i="3"/>
  <c r="D605" i="3"/>
  <c r="P604" i="3"/>
  <c r="P603" i="3"/>
  <c r="P602" i="3"/>
  <c r="P601" i="3"/>
  <c r="O600" i="3"/>
  <c r="N600" i="3"/>
  <c r="M600" i="3"/>
  <c r="L600" i="3"/>
  <c r="K600" i="3"/>
  <c r="J600" i="3"/>
  <c r="I600" i="3"/>
  <c r="H600" i="3"/>
  <c r="G600" i="3"/>
  <c r="E600" i="3"/>
  <c r="D600" i="3"/>
  <c r="P599" i="3"/>
  <c r="F598" i="3"/>
  <c r="P597" i="3"/>
  <c r="F596" i="3"/>
  <c r="P596" i="3" s="1"/>
  <c r="P595" i="3"/>
  <c r="P594" i="3"/>
  <c r="P593" i="3"/>
  <c r="P592" i="3"/>
  <c r="P591" i="3"/>
  <c r="P587" i="3"/>
  <c r="P586" i="3"/>
  <c r="O585" i="3"/>
  <c r="N585" i="3"/>
  <c r="M585" i="3"/>
  <c r="L585" i="3"/>
  <c r="K585" i="3"/>
  <c r="J585" i="3"/>
  <c r="I585" i="3"/>
  <c r="H585" i="3"/>
  <c r="G585" i="3"/>
  <c r="F585" i="3"/>
  <c r="E585" i="3"/>
  <c r="D585" i="3"/>
  <c r="P583" i="3"/>
  <c r="P582" i="3"/>
  <c r="O581" i="3"/>
  <c r="N581" i="3"/>
  <c r="M581" i="3"/>
  <c r="L581" i="3"/>
  <c r="K581" i="3"/>
  <c r="J581" i="3"/>
  <c r="I581" i="3"/>
  <c r="H581" i="3"/>
  <c r="G581" i="3"/>
  <c r="F581" i="3"/>
  <c r="E581" i="3"/>
  <c r="D581" i="3"/>
  <c r="P579" i="3"/>
  <c r="P578" i="3"/>
  <c r="O577" i="3"/>
  <c r="N577" i="3"/>
  <c r="M577" i="3"/>
  <c r="L577" i="3"/>
  <c r="K577" i="3"/>
  <c r="J577" i="3"/>
  <c r="I577" i="3"/>
  <c r="H577" i="3"/>
  <c r="G577" i="3"/>
  <c r="F577" i="3"/>
  <c r="E577" i="3"/>
  <c r="D577" i="3"/>
  <c r="P575" i="3"/>
  <c r="P574" i="3"/>
  <c r="O573" i="3"/>
  <c r="N573" i="3"/>
  <c r="M573" i="3"/>
  <c r="L573" i="3"/>
  <c r="K573" i="3"/>
  <c r="J573" i="3"/>
  <c r="I573" i="3"/>
  <c r="H573" i="3"/>
  <c r="G573" i="3"/>
  <c r="F573" i="3"/>
  <c r="E573" i="3"/>
  <c r="D573" i="3"/>
  <c r="P571" i="3"/>
  <c r="P570" i="3"/>
  <c r="P569" i="3"/>
  <c r="O568" i="3"/>
  <c r="N568" i="3"/>
  <c r="M568" i="3"/>
  <c r="L568" i="3"/>
  <c r="K568" i="3"/>
  <c r="J568" i="3"/>
  <c r="I568" i="3"/>
  <c r="H568" i="3"/>
  <c r="G568" i="3"/>
  <c r="F568" i="3"/>
  <c r="E568" i="3"/>
  <c r="D568" i="3"/>
  <c r="P566" i="3"/>
  <c r="P565" i="3"/>
  <c r="O564" i="3"/>
  <c r="N564" i="3"/>
  <c r="M564" i="3"/>
  <c r="L564" i="3"/>
  <c r="K564" i="3"/>
  <c r="J564" i="3"/>
  <c r="I564" i="3"/>
  <c r="H564" i="3"/>
  <c r="G564" i="3"/>
  <c r="F564" i="3"/>
  <c r="E564" i="3"/>
  <c r="D564" i="3"/>
  <c r="O561" i="3"/>
  <c r="N561" i="3"/>
  <c r="M561" i="3"/>
  <c r="L561" i="3"/>
  <c r="K561" i="3"/>
  <c r="J561" i="3"/>
  <c r="I561" i="3"/>
  <c r="H561" i="3"/>
  <c r="G561" i="3"/>
  <c r="F561" i="3"/>
  <c r="E561" i="3"/>
  <c r="D561" i="3"/>
  <c r="P560" i="3"/>
  <c r="P559" i="3"/>
  <c r="P558" i="3"/>
  <c r="O557" i="3"/>
  <c r="N557" i="3"/>
  <c r="M557" i="3"/>
  <c r="L557" i="3"/>
  <c r="K557" i="3"/>
  <c r="J557" i="3"/>
  <c r="I557" i="3"/>
  <c r="H557" i="3"/>
  <c r="G557" i="3"/>
  <c r="F557" i="3"/>
  <c r="E557" i="3"/>
  <c r="D556" i="3"/>
  <c r="P556" i="3" s="1"/>
  <c r="D555" i="3"/>
  <c r="O554" i="3"/>
  <c r="N554" i="3"/>
  <c r="M554" i="3"/>
  <c r="L554" i="3"/>
  <c r="K554" i="3"/>
  <c r="J554" i="3"/>
  <c r="I554" i="3"/>
  <c r="H554" i="3"/>
  <c r="G554" i="3"/>
  <c r="F554" i="3"/>
  <c r="E554" i="3"/>
  <c r="D554" i="3"/>
  <c r="P553" i="3"/>
  <c r="P552" i="3"/>
  <c r="O551" i="3"/>
  <c r="N551" i="3"/>
  <c r="M551" i="3"/>
  <c r="L551" i="3"/>
  <c r="K551" i="3"/>
  <c r="J551" i="3"/>
  <c r="I551" i="3"/>
  <c r="H551" i="3"/>
  <c r="G551" i="3"/>
  <c r="F551" i="3"/>
  <c r="E551" i="3"/>
  <c r="D551" i="3"/>
  <c r="P550" i="3"/>
  <c r="P549" i="3"/>
  <c r="P548" i="3"/>
  <c r="P547" i="3"/>
  <c r="P546" i="3"/>
  <c r="P545" i="3"/>
  <c r="O544" i="3"/>
  <c r="N544" i="3"/>
  <c r="M544" i="3"/>
  <c r="L544" i="3"/>
  <c r="K544" i="3"/>
  <c r="J544" i="3"/>
  <c r="I544" i="3"/>
  <c r="H544" i="3"/>
  <c r="G544" i="3"/>
  <c r="F544" i="3"/>
  <c r="E544" i="3"/>
  <c r="P543" i="3"/>
  <c r="D542" i="3"/>
  <c r="P541" i="3"/>
  <c r="D540" i="3"/>
  <c r="P540" i="3" s="1"/>
  <c r="P539" i="3"/>
  <c r="P538" i="3"/>
  <c r="P537" i="3"/>
  <c r="P536" i="3"/>
  <c r="P535" i="3"/>
  <c r="P531" i="3"/>
  <c r="P530" i="3"/>
  <c r="O529" i="3"/>
  <c r="N529" i="3"/>
  <c r="M529" i="3"/>
  <c r="L529" i="3"/>
  <c r="K529" i="3"/>
  <c r="J529" i="3"/>
  <c r="I529" i="3"/>
  <c r="H529" i="3"/>
  <c r="G529" i="3"/>
  <c r="F529" i="3"/>
  <c r="E529" i="3"/>
  <c r="D529" i="3"/>
  <c r="P527" i="3"/>
  <c r="P526" i="3"/>
  <c r="O525" i="3"/>
  <c r="N525" i="3"/>
  <c r="M525" i="3"/>
  <c r="L525" i="3"/>
  <c r="K525" i="3"/>
  <c r="J525" i="3"/>
  <c r="I525" i="3"/>
  <c r="H525" i="3"/>
  <c r="G525" i="3"/>
  <c r="F525" i="3"/>
  <c r="E525" i="3"/>
  <c r="D525" i="3"/>
  <c r="P523" i="3"/>
  <c r="P522" i="3"/>
  <c r="P521" i="3"/>
  <c r="O520" i="3"/>
  <c r="N520" i="3"/>
  <c r="M520" i="3"/>
  <c r="L520" i="3"/>
  <c r="K520" i="3"/>
  <c r="J520" i="3"/>
  <c r="I520" i="3"/>
  <c r="H520" i="3"/>
  <c r="G520" i="3"/>
  <c r="F520" i="3"/>
  <c r="E520" i="3"/>
  <c r="D520" i="3"/>
  <c r="P518" i="3"/>
  <c r="P517" i="3"/>
  <c r="O516" i="3"/>
  <c r="N516" i="3"/>
  <c r="M516" i="3"/>
  <c r="L516" i="3"/>
  <c r="K516" i="3"/>
  <c r="J516" i="3"/>
  <c r="I516" i="3"/>
  <c r="H516" i="3"/>
  <c r="G516" i="3"/>
  <c r="F516" i="3"/>
  <c r="E516" i="3"/>
  <c r="D516" i="3"/>
  <c r="P514" i="3"/>
  <c r="P513" i="3"/>
  <c r="P512" i="3"/>
  <c r="P511" i="3"/>
  <c r="O510" i="3"/>
  <c r="N510" i="3"/>
  <c r="M510" i="3"/>
  <c r="L510" i="3"/>
  <c r="K510" i="3"/>
  <c r="J510" i="3"/>
  <c r="I510" i="3"/>
  <c r="H510" i="3"/>
  <c r="G510" i="3"/>
  <c r="F510" i="3"/>
  <c r="E510" i="3"/>
  <c r="D510" i="3"/>
  <c r="P508" i="3"/>
  <c r="P507" i="3"/>
  <c r="O506" i="3"/>
  <c r="N506" i="3"/>
  <c r="M506" i="3"/>
  <c r="L506" i="3"/>
  <c r="K506" i="3"/>
  <c r="J506" i="3"/>
  <c r="I506" i="3"/>
  <c r="H506" i="3"/>
  <c r="G506" i="3"/>
  <c r="F506" i="3"/>
  <c r="E506" i="3"/>
  <c r="D506" i="3"/>
  <c r="O503" i="3"/>
  <c r="N503" i="3"/>
  <c r="M503" i="3"/>
  <c r="L503" i="3"/>
  <c r="K503" i="3"/>
  <c r="J503" i="3"/>
  <c r="I503" i="3"/>
  <c r="H503" i="3"/>
  <c r="G503" i="3"/>
  <c r="F503" i="3"/>
  <c r="E503" i="3"/>
  <c r="D503" i="3"/>
  <c r="P502" i="3"/>
  <c r="P501" i="3"/>
  <c r="P500" i="3"/>
  <c r="O499" i="3"/>
  <c r="N499" i="3"/>
  <c r="M499" i="3"/>
  <c r="L499" i="3"/>
  <c r="K499" i="3"/>
  <c r="J499" i="3"/>
  <c r="I499" i="3"/>
  <c r="H499" i="3"/>
  <c r="G499" i="3"/>
  <c r="F499" i="3"/>
  <c r="E499" i="3"/>
  <c r="D499" i="3"/>
  <c r="P498" i="3"/>
  <c r="P497" i="3"/>
  <c r="N496" i="3"/>
  <c r="M496" i="3"/>
  <c r="L496" i="3"/>
  <c r="K496" i="3"/>
  <c r="J496" i="3"/>
  <c r="I496" i="3"/>
  <c r="H496" i="3"/>
  <c r="G496" i="3"/>
  <c r="F496" i="3"/>
  <c r="E496" i="3"/>
  <c r="D496" i="3"/>
  <c r="O495" i="3"/>
  <c r="P495" i="3" s="1"/>
  <c r="P494" i="3"/>
  <c r="O493" i="3"/>
  <c r="N493" i="3"/>
  <c r="M493" i="3"/>
  <c r="L493" i="3"/>
  <c r="K493" i="3"/>
  <c r="J493" i="3"/>
  <c r="I493" i="3"/>
  <c r="H493" i="3"/>
  <c r="G493" i="3"/>
  <c r="F493" i="3"/>
  <c r="E493" i="3"/>
  <c r="D493" i="3"/>
  <c r="P492" i="3"/>
  <c r="P491" i="3"/>
  <c r="P490" i="3"/>
  <c r="P489" i="3"/>
  <c r="P488" i="3"/>
  <c r="P487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P485" i="3"/>
  <c r="P484" i="3"/>
  <c r="P483" i="3"/>
  <c r="P482" i="3"/>
  <c r="P481" i="3"/>
  <c r="P480" i="3"/>
  <c r="P479" i="3"/>
  <c r="P478" i="3"/>
  <c r="P474" i="3"/>
  <c r="P473" i="3"/>
  <c r="O472" i="3"/>
  <c r="N472" i="3"/>
  <c r="M472" i="3"/>
  <c r="L472" i="3"/>
  <c r="K472" i="3"/>
  <c r="J472" i="3"/>
  <c r="I472" i="3"/>
  <c r="H472" i="3"/>
  <c r="G472" i="3"/>
  <c r="F472" i="3"/>
  <c r="E472" i="3"/>
  <c r="D472" i="3"/>
  <c r="P470" i="3"/>
  <c r="P469" i="3"/>
  <c r="O468" i="3"/>
  <c r="N468" i="3"/>
  <c r="M468" i="3"/>
  <c r="L468" i="3"/>
  <c r="K468" i="3"/>
  <c r="J468" i="3"/>
  <c r="I468" i="3"/>
  <c r="H468" i="3"/>
  <c r="G468" i="3"/>
  <c r="F468" i="3"/>
  <c r="E468" i="3"/>
  <c r="D468" i="3"/>
  <c r="P466" i="3"/>
  <c r="P465" i="3"/>
  <c r="P464" i="3"/>
  <c r="O463" i="3"/>
  <c r="N463" i="3"/>
  <c r="M463" i="3"/>
  <c r="L463" i="3"/>
  <c r="K463" i="3"/>
  <c r="J463" i="3"/>
  <c r="I463" i="3"/>
  <c r="H463" i="3"/>
  <c r="G463" i="3"/>
  <c r="F463" i="3"/>
  <c r="E463" i="3"/>
  <c r="D463" i="3"/>
  <c r="P461" i="3"/>
  <c r="P460" i="3"/>
  <c r="P459" i="3"/>
  <c r="O458" i="3"/>
  <c r="N458" i="3"/>
  <c r="M458" i="3"/>
  <c r="L458" i="3"/>
  <c r="K458" i="3"/>
  <c r="J458" i="3"/>
  <c r="I458" i="3"/>
  <c r="H458" i="3"/>
  <c r="G458" i="3"/>
  <c r="F458" i="3"/>
  <c r="E458" i="3"/>
  <c r="D458" i="3"/>
  <c r="P456" i="3"/>
  <c r="J455" i="3"/>
  <c r="J454" i="3" s="1"/>
  <c r="O454" i="3"/>
  <c r="N454" i="3"/>
  <c r="M454" i="3"/>
  <c r="L454" i="3"/>
  <c r="K454" i="3"/>
  <c r="I454" i="3"/>
  <c r="H454" i="3"/>
  <c r="G454" i="3"/>
  <c r="F454" i="3"/>
  <c r="E454" i="3"/>
  <c r="D454" i="3"/>
  <c r="P452" i="3"/>
  <c r="P451" i="3"/>
  <c r="P450" i="3"/>
  <c r="P449" i="3"/>
  <c r="O448" i="3"/>
  <c r="N448" i="3"/>
  <c r="M448" i="3"/>
  <c r="L448" i="3"/>
  <c r="K448" i="3"/>
  <c r="J448" i="3"/>
  <c r="I448" i="3"/>
  <c r="H448" i="3"/>
  <c r="G448" i="3"/>
  <c r="F448" i="3"/>
  <c r="E448" i="3"/>
  <c r="D448" i="3"/>
  <c r="P446" i="3"/>
  <c r="P445" i="3"/>
  <c r="O444" i="3"/>
  <c r="N444" i="3"/>
  <c r="M444" i="3"/>
  <c r="L444" i="3"/>
  <c r="K444" i="3"/>
  <c r="J444" i="3"/>
  <c r="I444" i="3"/>
  <c r="H444" i="3"/>
  <c r="G444" i="3"/>
  <c r="F444" i="3"/>
  <c r="E444" i="3"/>
  <c r="D444" i="3"/>
  <c r="P442" i="3"/>
  <c r="P441" i="3"/>
  <c r="P440" i="3"/>
  <c r="O439" i="3"/>
  <c r="N439" i="3"/>
  <c r="M439" i="3"/>
  <c r="L439" i="3"/>
  <c r="K439" i="3"/>
  <c r="J439" i="3"/>
  <c r="I439" i="3"/>
  <c r="H439" i="3"/>
  <c r="G439" i="3"/>
  <c r="F439" i="3"/>
  <c r="E439" i="3"/>
  <c r="D439" i="3"/>
  <c r="O436" i="3"/>
  <c r="N436" i="3"/>
  <c r="M436" i="3"/>
  <c r="L436" i="3"/>
  <c r="K436" i="3"/>
  <c r="J436" i="3"/>
  <c r="I436" i="3"/>
  <c r="H436" i="3"/>
  <c r="G436" i="3"/>
  <c r="E436" i="3"/>
  <c r="D436" i="3"/>
  <c r="P435" i="3"/>
  <c r="P434" i="3"/>
  <c r="P433" i="3"/>
  <c r="F432" i="3"/>
  <c r="F436" i="3" s="1"/>
  <c r="P431" i="3"/>
  <c r="O430" i="3"/>
  <c r="N430" i="3"/>
  <c r="M430" i="3"/>
  <c r="L430" i="3"/>
  <c r="K430" i="3"/>
  <c r="J430" i="3"/>
  <c r="I429" i="3"/>
  <c r="H429" i="3"/>
  <c r="G429" i="3"/>
  <c r="F429" i="3"/>
  <c r="E429" i="3"/>
  <c r="D429" i="3"/>
  <c r="I428" i="3"/>
  <c r="H428" i="3"/>
  <c r="G428" i="3"/>
  <c r="F428" i="3"/>
  <c r="E428" i="3"/>
  <c r="D428" i="3"/>
  <c r="O427" i="3"/>
  <c r="N427" i="3"/>
  <c r="M427" i="3"/>
  <c r="L427" i="3"/>
  <c r="K427" i="3"/>
  <c r="J427" i="3"/>
  <c r="I427" i="3"/>
  <c r="H427" i="3"/>
  <c r="G427" i="3"/>
  <c r="E427" i="3"/>
  <c r="D427" i="3"/>
  <c r="F426" i="3"/>
  <c r="P426" i="3" s="1"/>
  <c r="P425" i="3"/>
  <c r="O424" i="3"/>
  <c r="N424" i="3"/>
  <c r="M424" i="3"/>
  <c r="L424" i="3"/>
  <c r="K424" i="3"/>
  <c r="J424" i="3"/>
  <c r="I424" i="3"/>
  <c r="H424" i="3"/>
  <c r="G424" i="3"/>
  <c r="E424" i="3"/>
  <c r="D424" i="3"/>
  <c r="P423" i="3"/>
  <c r="P422" i="3"/>
  <c r="P421" i="3"/>
  <c r="P420" i="3"/>
  <c r="F419" i="3"/>
  <c r="P419" i="3" s="1"/>
  <c r="P418" i="3"/>
  <c r="O417" i="3"/>
  <c r="N417" i="3"/>
  <c r="M417" i="3"/>
  <c r="L417" i="3"/>
  <c r="K417" i="3"/>
  <c r="J417" i="3"/>
  <c r="F416" i="3"/>
  <c r="P416" i="3" s="1"/>
  <c r="P415" i="3"/>
  <c r="F414" i="3"/>
  <c r="P414" i="3" s="1"/>
  <c r="P413" i="3"/>
  <c r="F412" i="3"/>
  <c r="P412" i="3" s="1"/>
  <c r="P411" i="3"/>
  <c r="I410" i="3"/>
  <c r="I417" i="3" s="1"/>
  <c r="H410" i="3"/>
  <c r="H417" i="3" s="1"/>
  <c r="G410" i="3"/>
  <c r="G417" i="3" s="1"/>
  <c r="F410" i="3"/>
  <c r="E410" i="3"/>
  <c r="E417" i="3" s="1"/>
  <c r="D410" i="3"/>
  <c r="D417" i="3" s="1"/>
  <c r="P409" i="3"/>
  <c r="P405" i="3"/>
  <c r="P404" i="3"/>
  <c r="O403" i="3"/>
  <c r="N403" i="3"/>
  <c r="M403" i="3"/>
  <c r="L403" i="3"/>
  <c r="K403" i="3"/>
  <c r="J403" i="3"/>
  <c r="I403" i="3"/>
  <c r="H403" i="3"/>
  <c r="G403" i="3"/>
  <c r="F403" i="3"/>
  <c r="E403" i="3"/>
  <c r="D403" i="3"/>
  <c r="P401" i="3"/>
  <c r="P400" i="3"/>
  <c r="P399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P396" i="3"/>
  <c r="P395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P392" i="3"/>
  <c r="P391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P388" i="3"/>
  <c r="P387" i="3"/>
  <c r="P386" i="3"/>
  <c r="P385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P382" i="3"/>
  <c r="P381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P378" i="3"/>
  <c r="P377" i="3"/>
  <c r="P376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P373" i="3"/>
  <c r="P372" i="3"/>
  <c r="P371" i="3"/>
  <c r="O370" i="3"/>
  <c r="N370" i="3"/>
  <c r="M370" i="3"/>
  <c r="L370" i="3"/>
  <c r="K370" i="3"/>
  <c r="J370" i="3"/>
  <c r="I370" i="3"/>
  <c r="H370" i="3"/>
  <c r="G370" i="3"/>
  <c r="F370" i="3"/>
  <c r="E370" i="3"/>
  <c r="D370" i="3"/>
  <c r="O367" i="3"/>
  <c r="N367" i="3"/>
  <c r="M367" i="3"/>
  <c r="L367" i="3"/>
  <c r="K367" i="3"/>
  <c r="J367" i="3"/>
  <c r="I367" i="3"/>
  <c r="H367" i="3"/>
  <c r="G367" i="3"/>
  <c r="F367" i="3"/>
  <c r="E367" i="3"/>
  <c r="D367" i="3"/>
  <c r="P366" i="3"/>
  <c r="P365" i="3"/>
  <c r="P364" i="3"/>
  <c r="P363" i="3"/>
  <c r="P362" i="3"/>
  <c r="P361" i="3"/>
  <c r="O360" i="3"/>
  <c r="N360" i="3"/>
  <c r="M360" i="3"/>
  <c r="L360" i="3"/>
  <c r="K360" i="3"/>
  <c r="J360" i="3"/>
  <c r="H360" i="3"/>
  <c r="G360" i="3"/>
  <c r="F360" i="3"/>
  <c r="E360" i="3"/>
  <c r="D360" i="3"/>
  <c r="I359" i="3"/>
  <c r="P359" i="3" s="1"/>
  <c r="I358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P356" i="3"/>
  <c r="P355" i="3"/>
  <c r="P354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P352" i="3"/>
  <c r="P351" i="3"/>
  <c r="P350" i="3"/>
  <c r="P349" i="3"/>
  <c r="P348" i="3"/>
  <c r="P347" i="3"/>
  <c r="P346" i="3"/>
  <c r="P345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P343" i="3"/>
  <c r="P342" i="3"/>
  <c r="P341" i="3"/>
  <c r="P340" i="3"/>
  <c r="P339" i="3"/>
  <c r="P338" i="3"/>
  <c r="P334" i="3"/>
  <c r="P333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P330" i="3"/>
  <c r="P329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P326" i="3"/>
  <c r="P325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P322" i="3"/>
  <c r="P321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P318" i="3"/>
  <c r="P317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P314" i="3"/>
  <c r="P313" i="3"/>
  <c r="P312" i="3"/>
  <c r="P311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P308" i="3"/>
  <c r="P307" i="3"/>
  <c r="P306" i="3"/>
  <c r="P305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P302" i="3"/>
  <c r="P301" i="3"/>
  <c r="P300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P297" i="3"/>
  <c r="P296" i="3"/>
  <c r="P295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P290" i="3"/>
  <c r="P289" i="3"/>
  <c r="P288" i="3"/>
  <c r="P287" i="3"/>
  <c r="P286" i="3"/>
  <c r="P285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P283" i="3"/>
  <c r="P282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P280" i="3"/>
  <c r="P279" i="3"/>
  <c r="P278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P276" i="3"/>
  <c r="P275" i="3"/>
  <c r="P274" i="3"/>
  <c r="P273" i="3"/>
  <c r="P272" i="3"/>
  <c r="P271" i="3"/>
  <c r="P270" i="3"/>
  <c r="P269" i="3"/>
  <c r="O268" i="3"/>
  <c r="N268" i="3"/>
  <c r="M268" i="3"/>
  <c r="L268" i="3"/>
  <c r="K268" i="3"/>
  <c r="J268" i="3"/>
  <c r="I268" i="3"/>
  <c r="H268" i="3"/>
  <c r="G268" i="3"/>
  <c r="F268" i="3"/>
  <c r="E268" i="3"/>
  <c r="D268" i="3"/>
  <c r="P267" i="3"/>
  <c r="P266" i="3"/>
  <c r="P265" i="3"/>
  <c r="P264" i="3"/>
  <c r="P263" i="3"/>
  <c r="P262" i="3"/>
  <c r="P261" i="3"/>
  <c r="P257" i="3"/>
  <c r="P256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P253" i="3"/>
  <c r="P252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P249" i="3"/>
  <c r="P248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P245" i="3"/>
  <c r="P244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P241" i="3"/>
  <c r="P240" i="3"/>
  <c r="P239" i="3"/>
  <c r="P238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P235" i="3"/>
  <c r="P234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P231" i="3"/>
  <c r="P230" i="3"/>
  <c r="P229" i="3"/>
  <c r="P228" i="3"/>
  <c r="P227" i="3"/>
  <c r="P226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P223" i="3"/>
  <c r="P222" i="3"/>
  <c r="P221" i="3"/>
  <c r="P220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P217" i="3"/>
  <c r="P216" i="3"/>
  <c r="P215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P212" i="3"/>
  <c r="P211" i="3"/>
  <c r="P210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O206" i="3"/>
  <c r="N206" i="3"/>
  <c r="M206" i="3"/>
  <c r="L206" i="3"/>
  <c r="K206" i="3"/>
  <c r="J206" i="3"/>
  <c r="H206" i="3"/>
  <c r="G206" i="3"/>
  <c r="F206" i="3"/>
  <c r="E206" i="3"/>
  <c r="D206" i="3"/>
  <c r="I205" i="3"/>
  <c r="P205" i="3" s="1"/>
  <c r="I204" i="3"/>
  <c r="P204" i="3" s="1"/>
  <c r="P203" i="3"/>
  <c r="P202" i="3"/>
  <c r="I201" i="3"/>
  <c r="P200" i="3"/>
  <c r="O199" i="3"/>
  <c r="N199" i="3"/>
  <c r="M199" i="3"/>
  <c r="L199" i="3"/>
  <c r="K199" i="3"/>
  <c r="J199" i="3"/>
  <c r="H199" i="3"/>
  <c r="G199" i="3"/>
  <c r="F199" i="3"/>
  <c r="E199" i="3"/>
  <c r="D199" i="3"/>
  <c r="I198" i="3"/>
  <c r="P198" i="3" s="1"/>
  <c r="I197" i="3"/>
  <c r="O196" i="3"/>
  <c r="N196" i="3"/>
  <c r="M196" i="3"/>
  <c r="L196" i="3"/>
  <c r="K196" i="3"/>
  <c r="J196" i="3"/>
  <c r="H196" i="3"/>
  <c r="G196" i="3"/>
  <c r="F196" i="3"/>
  <c r="E196" i="3"/>
  <c r="D196" i="3"/>
  <c r="I195" i="3"/>
  <c r="I196" i="3" s="1"/>
  <c r="P194" i="3"/>
  <c r="O193" i="3"/>
  <c r="N193" i="3"/>
  <c r="M193" i="3"/>
  <c r="L193" i="3"/>
  <c r="K193" i="3"/>
  <c r="J193" i="3"/>
  <c r="H193" i="3"/>
  <c r="G193" i="3"/>
  <c r="F193" i="3"/>
  <c r="E193" i="3"/>
  <c r="D193" i="3"/>
  <c r="P192" i="3"/>
  <c r="I191" i="3"/>
  <c r="P191" i="3" s="1"/>
  <c r="P190" i="3"/>
  <c r="P189" i="3"/>
  <c r="I188" i="3"/>
  <c r="P188" i="3" s="1"/>
  <c r="I187" i="3"/>
  <c r="P187" i="3" s="1"/>
  <c r="P186" i="3"/>
  <c r="P185" i="3"/>
  <c r="O184" i="3"/>
  <c r="N184" i="3"/>
  <c r="M184" i="3"/>
  <c r="L184" i="3"/>
  <c r="K184" i="3"/>
  <c r="J184" i="3"/>
  <c r="H184" i="3"/>
  <c r="G184" i="3"/>
  <c r="F184" i="3"/>
  <c r="E184" i="3"/>
  <c r="D184" i="3"/>
  <c r="I183" i="3"/>
  <c r="P183" i="3" s="1"/>
  <c r="P182" i="3"/>
  <c r="I181" i="3"/>
  <c r="P181" i="3" s="1"/>
  <c r="I180" i="3"/>
  <c r="P180" i="3" s="1"/>
  <c r="P179" i="3"/>
  <c r="P171" i="3"/>
  <c r="P170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P167" i="3"/>
  <c r="P166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P163" i="3"/>
  <c r="P162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P159" i="3"/>
  <c r="P158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P155" i="3"/>
  <c r="P154" i="3"/>
  <c r="P153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P150" i="3"/>
  <c r="P149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P146" i="3"/>
  <c r="P145" i="3"/>
  <c r="P144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P137" i="3"/>
  <c r="P136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P133" i="3"/>
  <c r="P131" i="3"/>
  <c r="P130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P127" i="3"/>
  <c r="P126" i="3"/>
  <c r="P125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P120" i="3"/>
  <c r="P119" i="3"/>
  <c r="P118" i="3"/>
  <c r="P117" i="3"/>
  <c r="P116" i="3"/>
  <c r="P115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P113" i="3"/>
  <c r="P112" i="3"/>
  <c r="P109" i="3"/>
  <c r="P108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P106" i="3"/>
  <c r="P105" i="3"/>
  <c r="P104" i="3"/>
  <c r="P103" i="3"/>
  <c r="P102" i="3"/>
  <c r="P101" i="3"/>
  <c r="P100" i="3"/>
  <c r="P99" i="3"/>
  <c r="O98" i="3"/>
  <c r="N98" i="3"/>
  <c r="M98" i="3"/>
  <c r="L98" i="3"/>
  <c r="K98" i="3"/>
  <c r="J98" i="3"/>
  <c r="I98" i="3"/>
  <c r="H98" i="3"/>
  <c r="G98" i="3"/>
  <c r="F98" i="3"/>
  <c r="E98" i="3"/>
  <c r="D98" i="3"/>
  <c r="P97" i="3"/>
  <c r="P96" i="3"/>
  <c r="P95" i="3"/>
  <c r="P94" i="3"/>
  <c r="K67" i="25"/>
  <c r="G67" i="25"/>
  <c r="F67" i="25"/>
  <c r="K65" i="25"/>
  <c r="G65" i="25"/>
  <c r="F65" i="25"/>
  <c r="K64" i="25"/>
  <c r="G64" i="25"/>
  <c r="F64" i="25"/>
  <c r="K60" i="25"/>
  <c r="G60" i="25"/>
  <c r="F60" i="25"/>
  <c r="K59" i="25"/>
  <c r="G59" i="25"/>
  <c r="F59" i="25"/>
  <c r="K58" i="25"/>
  <c r="G58" i="25"/>
  <c r="F58" i="25"/>
  <c r="K57" i="25"/>
  <c r="G57" i="25"/>
  <c r="F57" i="25"/>
  <c r="K56" i="25"/>
  <c r="G56" i="25"/>
  <c r="F56" i="25"/>
  <c r="K53" i="25"/>
  <c r="G53" i="25"/>
  <c r="F53" i="25"/>
  <c r="K52" i="25"/>
  <c r="G52" i="25"/>
  <c r="F52" i="25"/>
  <c r="K48" i="25"/>
  <c r="G48" i="25"/>
  <c r="F48" i="25"/>
  <c r="K47" i="25"/>
  <c r="G47" i="25"/>
  <c r="F47" i="25"/>
  <c r="K46" i="25"/>
  <c r="G46" i="25"/>
  <c r="F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H41" i="25"/>
  <c r="K37" i="25"/>
  <c r="K35" i="25"/>
  <c r="G35" i="25"/>
  <c r="F35" i="25"/>
  <c r="G34" i="25"/>
  <c r="F34" i="25"/>
  <c r="K33" i="25"/>
  <c r="G33" i="25"/>
  <c r="F33" i="25"/>
  <c r="K32" i="25"/>
  <c r="G32" i="25"/>
  <c r="F32" i="25"/>
  <c r="K31" i="25"/>
  <c r="G31" i="25"/>
  <c r="F31" i="25"/>
  <c r="K30" i="25"/>
  <c r="G30" i="25"/>
  <c r="F30" i="25"/>
  <c r="K29" i="25"/>
  <c r="G29" i="25"/>
  <c r="F29" i="25"/>
  <c r="K28" i="25"/>
  <c r="G28" i="25"/>
  <c r="F28" i="25"/>
  <c r="K27" i="25"/>
  <c r="G27" i="25"/>
  <c r="F27" i="25"/>
  <c r="K26" i="25"/>
  <c r="G26" i="25"/>
  <c r="F26" i="25"/>
  <c r="K25" i="25"/>
  <c r="G25" i="25"/>
  <c r="F25" i="25"/>
  <c r="K24" i="25"/>
  <c r="G24" i="25"/>
  <c r="F24" i="25"/>
  <c r="K23" i="25"/>
  <c r="G23" i="25"/>
  <c r="F23" i="25"/>
  <c r="K21" i="25"/>
  <c r="G21" i="25"/>
  <c r="K20" i="25"/>
  <c r="G20" i="25"/>
  <c r="K19" i="25"/>
  <c r="G19" i="25"/>
  <c r="F19" i="25"/>
  <c r="K18" i="25"/>
  <c r="F18" i="25"/>
  <c r="K16" i="25"/>
  <c r="G16" i="25"/>
  <c r="F16" i="25"/>
  <c r="K15" i="25"/>
  <c r="G15" i="25"/>
  <c r="F15" i="25"/>
  <c r="K14" i="25"/>
  <c r="G14" i="25"/>
  <c r="F14" i="25"/>
  <c r="K13" i="25"/>
  <c r="G13" i="25"/>
  <c r="F13" i="25"/>
  <c r="K12" i="25"/>
  <c r="G12" i="25"/>
  <c r="F12" i="25"/>
  <c r="K11" i="25"/>
  <c r="G11" i="25"/>
  <c r="F11" i="25"/>
  <c r="K10" i="25"/>
  <c r="G10" i="25"/>
  <c r="F10" i="25"/>
  <c r="K9" i="25"/>
  <c r="G9" i="25"/>
  <c r="F9" i="25"/>
  <c r="K8" i="25"/>
  <c r="G8" i="25"/>
  <c r="F8" i="25"/>
  <c r="K7" i="25"/>
  <c r="G7" i="25"/>
  <c r="F7" i="25"/>
  <c r="K6" i="25"/>
  <c r="G6" i="25"/>
  <c r="F6" i="25"/>
  <c r="K5" i="25"/>
  <c r="G5" i="25"/>
  <c r="F5" i="25"/>
  <c r="H4" i="25"/>
  <c r="E143" i="2" l="1"/>
  <c r="P233" i="3"/>
  <c r="D63" i="2"/>
  <c r="D47" i="2"/>
  <c r="E127" i="2"/>
  <c r="E79" i="2"/>
  <c r="F424" i="3"/>
  <c r="E36" i="2"/>
  <c r="E47" i="2" s="1"/>
  <c r="E95" i="2"/>
  <c r="D79" i="2"/>
  <c r="E111" i="2"/>
  <c r="P561" i="3"/>
  <c r="H122" i="3"/>
  <c r="P529" i="3"/>
  <c r="P577" i="3"/>
  <c r="L292" i="3"/>
  <c r="D207" i="3"/>
  <c r="P525" i="3"/>
  <c r="I184" i="3"/>
  <c r="P184" i="3" s="1"/>
  <c r="P520" i="3"/>
  <c r="P516" i="3"/>
  <c r="D544" i="3"/>
  <c r="D292" i="3"/>
  <c r="E292" i="3"/>
  <c r="P225" i="3"/>
  <c r="P255" i="3"/>
  <c r="P243" i="3"/>
  <c r="P237" i="3"/>
  <c r="P310" i="3"/>
  <c r="P316" i="3"/>
  <c r="P458" i="3"/>
  <c r="P463" i="3"/>
  <c r="P448" i="3"/>
  <c r="P165" i="3"/>
  <c r="P169" i="3"/>
  <c r="P148" i="3"/>
  <c r="G37" i="25"/>
  <c r="F37" i="25"/>
  <c r="D122" i="3"/>
  <c r="P161" i="3"/>
  <c r="P629" i="3"/>
  <c r="P114" i="3"/>
  <c r="F122" i="3"/>
  <c r="P121" i="3"/>
  <c r="F430" i="3"/>
  <c r="K616" i="3"/>
  <c r="P472" i="3"/>
  <c r="I430" i="3"/>
  <c r="I437" i="3" s="1"/>
  <c r="I122" i="3"/>
  <c r="N616" i="3"/>
  <c r="J122" i="3"/>
  <c r="P324" i="3"/>
  <c r="P320" i="3"/>
  <c r="E430" i="3"/>
  <c r="E437" i="3" s="1"/>
  <c r="P468" i="3"/>
  <c r="P439" i="3"/>
  <c r="D430" i="3"/>
  <c r="D437" i="3" s="1"/>
  <c r="L122" i="3"/>
  <c r="P304" i="3"/>
  <c r="I360" i="3"/>
  <c r="I368" i="3" s="1"/>
  <c r="P503" i="3"/>
  <c r="E562" i="3"/>
  <c r="P605" i="3"/>
  <c r="P608" i="3"/>
  <c r="P299" i="3"/>
  <c r="P486" i="3"/>
  <c r="O496" i="3"/>
  <c r="O504" i="3" s="1"/>
  <c r="J437" i="3"/>
  <c r="P444" i="3"/>
  <c r="P129" i="3"/>
  <c r="P294" i="3"/>
  <c r="P152" i="3"/>
  <c r="P143" i="3"/>
  <c r="E122" i="3"/>
  <c r="P432" i="3"/>
  <c r="P436" i="3" s="1"/>
  <c r="P496" i="3"/>
  <c r="F562" i="3"/>
  <c r="G562" i="3"/>
  <c r="P573" i="3"/>
  <c r="P568" i="3"/>
  <c r="F600" i="3"/>
  <c r="F616" i="3" s="1"/>
  <c r="K122" i="3"/>
  <c r="G122" i="3"/>
  <c r="P157" i="3"/>
  <c r="G430" i="3"/>
  <c r="G437" i="3" s="1"/>
  <c r="F504" i="3"/>
  <c r="M292" i="3"/>
  <c r="I199" i="3"/>
  <c r="P199" i="3" s="1"/>
  <c r="K562" i="3"/>
  <c r="M122" i="3"/>
  <c r="F368" i="3"/>
  <c r="P403" i="3"/>
  <c r="P410" i="3"/>
  <c r="P417" i="3" s="1"/>
  <c r="P510" i="3"/>
  <c r="N122" i="3"/>
  <c r="I504" i="3"/>
  <c r="G616" i="3"/>
  <c r="K437" i="3"/>
  <c r="J504" i="3"/>
  <c r="N562" i="3"/>
  <c r="H562" i="3"/>
  <c r="O122" i="3"/>
  <c r="P332" i="3"/>
  <c r="M368" i="3"/>
  <c r="M437" i="3"/>
  <c r="L437" i="3"/>
  <c r="K504" i="3"/>
  <c r="P251" i="3"/>
  <c r="P328" i="3"/>
  <c r="P344" i="3"/>
  <c r="N368" i="3"/>
  <c r="P390" i="3"/>
  <c r="D557" i="3"/>
  <c r="F427" i="3"/>
  <c r="G207" i="3"/>
  <c r="N437" i="3"/>
  <c r="P551" i="3"/>
  <c r="O368" i="3"/>
  <c r="H207" i="3"/>
  <c r="P427" i="3"/>
  <c r="P554" i="3"/>
  <c r="P581" i="3"/>
  <c r="P615" i="3"/>
  <c r="P135" i="3"/>
  <c r="D616" i="3"/>
  <c r="P107" i="3"/>
  <c r="E616" i="3"/>
  <c r="P555" i="3"/>
  <c r="P557" i="3" s="1"/>
  <c r="P542" i="3"/>
  <c r="P544" i="3" s="1"/>
  <c r="F417" i="3"/>
  <c r="I206" i="3"/>
  <c r="P206" i="3" s="1"/>
  <c r="P201" i="3"/>
  <c r="P398" i="3"/>
  <c r="H504" i="3"/>
  <c r="P598" i="3"/>
  <c r="P600" i="3" s="1"/>
  <c r="H430" i="3"/>
  <c r="H437" i="3" s="1"/>
  <c r="P428" i="3"/>
  <c r="P197" i="3"/>
  <c r="P219" i="3"/>
  <c r="E504" i="3"/>
  <c r="P394" i="3"/>
  <c r="P195" i="3"/>
  <c r="J207" i="3"/>
  <c r="E207" i="3"/>
  <c r="F292" i="3"/>
  <c r="P380" i="3"/>
  <c r="P124" i="3"/>
  <c r="L207" i="3"/>
  <c r="P281" i="3"/>
  <c r="P291" i="3"/>
  <c r="P357" i="3"/>
  <c r="P358" i="3"/>
  <c r="P360" i="3" s="1"/>
  <c r="P375" i="3"/>
  <c r="P455" i="3"/>
  <c r="P454" i="3" s="1"/>
  <c r="P585" i="3"/>
  <c r="H616" i="3"/>
  <c r="P353" i="3"/>
  <c r="P98" i="3"/>
  <c r="M207" i="3"/>
  <c r="F207" i="3"/>
  <c r="P277" i="3"/>
  <c r="P367" i="3"/>
  <c r="P370" i="3"/>
  <c r="M504" i="3"/>
  <c r="I562" i="3"/>
  <c r="I616" i="3"/>
  <c r="K207" i="3"/>
  <c r="N207" i="3"/>
  <c r="O437" i="3"/>
  <c r="P429" i="3"/>
  <c r="N504" i="3"/>
  <c r="L504" i="3"/>
  <c r="P506" i="3"/>
  <c r="J562" i="3"/>
  <c r="J616" i="3"/>
  <c r="G504" i="3"/>
  <c r="P209" i="3"/>
  <c r="P196" i="3"/>
  <c r="P384" i="3"/>
  <c r="D368" i="3"/>
  <c r="P424" i="3"/>
  <c r="I193" i="3"/>
  <c r="J292" i="3"/>
  <c r="L562" i="3"/>
  <c r="L616" i="3"/>
  <c r="G292" i="3"/>
  <c r="H368" i="3"/>
  <c r="P493" i="3"/>
  <c r="H292" i="3"/>
  <c r="K292" i="3"/>
  <c r="E368" i="3"/>
  <c r="P499" i="3"/>
  <c r="M562" i="3"/>
  <c r="M616" i="3"/>
  <c r="P618" i="3"/>
  <c r="J368" i="3"/>
  <c r="P214" i="3"/>
  <c r="O207" i="3"/>
  <c r="I292" i="3"/>
  <c r="P268" i="3"/>
  <c r="K368" i="3"/>
  <c r="G368" i="3"/>
  <c r="O562" i="3"/>
  <c r="P564" i="3"/>
  <c r="O616" i="3"/>
  <c r="P624" i="3"/>
  <c r="P284" i="3"/>
  <c r="P247" i="3"/>
  <c r="O292" i="3"/>
  <c r="L368" i="3"/>
  <c r="D504" i="3"/>
  <c r="P611" i="3"/>
  <c r="N292" i="3"/>
  <c r="E31" i="2"/>
  <c r="D562" i="3" l="1"/>
  <c r="I207" i="3"/>
  <c r="F437" i="3"/>
  <c r="P504" i="3"/>
  <c r="P368" i="3"/>
  <c r="P292" i="3"/>
  <c r="P616" i="3"/>
  <c r="P562" i="3"/>
  <c r="P193" i="3"/>
  <c r="P207" i="3" s="1"/>
  <c r="P122" i="3"/>
  <c r="P430" i="3"/>
  <c r="P437" i="3" s="1"/>
</calcChain>
</file>

<file path=xl/sharedStrings.xml><?xml version="1.0" encoding="utf-8"?>
<sst xmlns="http://schemas.openxmlformats.org/spreadsheetml/2006/main" count="833" uniqueCount="186">
  <si>
    <t>계</t>
    <phoneticPr fontId="2" type="noConversion"/>
  </si>
  <si>
    <t>차    종</t>
    <phoneticPr fontId="2" type="noConversion"/>
  </si>
  <si>
    <t>총      계</t>
    <phoneticPr fontId="2" type="noConversion"/>
  </si>
  <si>
    <t>i30</t>
    <phoneticPr fontId="2" type="noConversion"/>
  </si>
  <si>
    <t>제네시스</t>
    <phoneticPr fontId="2" type="noConversion"/>
  </si>
  <si>
    <t>싼타페</t>
    <phoneticPr fontId="2" type="noConversion"/>
  </si>
  <si>
    <t>소상</t>
    <phoneticPr fontId="2" type="noConversion"/>
  </si>
  <si>
    <t>대형</t>
    <phoneticPr fontId="2" type="noConversion"/>
  </si>
  <si>
    <t>스타렉스</t>
    <phoneticPr fontId="2" type="noConversion"/>
  </si>
  <si>
    <t>포터</t>
    <phoneticPr fontId="2" type="noConversion"/>
  </si>
  <si>
    <t>버스</t>
    <phoneticPr fontId="2" type="noConversion"/>
  </si>
  <si>
    <t>트럭</t>
    <phoneticPr fontId="2" type="noConversion"/>
  </si>
  <si>
    <t>해외</t>
    <phoneticPr fontId="2" type="noConversion"/>
  </si>
  <si>
    <t>국내</t>
    <phoneticPr fontId="2" type="noConversion"/>
  </si>
  <si>
    <t xml:space="preserve">              </t>
  </si>
  <si>
    <t>차종</t>
  </si>
  <si>
    <t>포터</t>
  </si>
  <si>
    <t>엑센트</t>
    <phoneticPr fontId="2" type="noConversion"/>
  </si>
  <si>
    <t>벨로스터</t>
    <phoneticPr fontId="2" type="noConversion"/>
  </si>
  <si>
    <t>하이브리드</t>
    <phoneticPr fontId="2" type="noConversion"/>
  </si>
  <si>
    <t>아반떼</t>
    <phoneticPr fontId="2" type="noConversion"/>
  </si>
  <si>
    <t>쏘나타</t>
    <phoneticPr fontId="2" type="noConversion"/>
  </si>
  <si>
    <t>YF</t>
    <phoneticPr fontId="2" type="noConversion"/>
  </si>
  <si>
    <t>그랜저</t>
    <phoneticPr fontId="2" type="noConversion"/>
  </si>
  <si>
    <t>전월대비
(%)</t>
    <phoneticPr fontId="37" type="noConversion"/>
  </si>
  <si>
    <t>RV 계</t>
    <phoneticPr fontId="37" type="noConversion"/>
  </si>
  <si>
    <t>소상 계</t>
    <phoneticPr fontId="37" type="noConversion"/>
  </si>
  <si>
    <t>버스</t>
    <phoneticPr fontId="37" type="noConversion"/>
  </si>
  <si>
    <t>대형 계</t>
    <phoneticPr fontId="37" type="noConversion"/>
  </si>
  <si>
    <t>국내 판매 계</t>
    <phoneticPr fontId="37" type="noConversion"/>
  </si>
  <si>
    <t>해외 판매 계</t>
    <phoneticPr fontId="2" type="noConversion"/>
  </si>
  <si>
    <t>완성차 계</t>
    <phoneticPr fontId="37" type="noConversion"/>
  </si>
  <si>
    <t>구  분</t>
    <phoneticPr fontId="2" type="noConversion"/>
  </si>
  <si>
    <t>전년동월
대비 (%)</t>
    <phoneticPr fontId="2" type="noConversion"/>
  </si>
  <si>
    <t>전년누계
대비 (%)</t>
    <phoneticPr fontId="2" type="noConversion"/>
  </si>
  <si>
    <t>i40</t>
    <phoneticPr fontId="2" type="noConversion"/>
  </si>
  <si>
    <t>RV</t>
    <phoneticPr fontId="2" type="noConversion"/>
  </si>
  <si>
    <t>승용</t>
    <phoneticPr fontId="2" type="noConversion"/>
  </si>
  <si>
    <t>맥스크루즈</t>
    <phoneticPr fontId="2" type="noConversion"/>
  </si>
  <si>
    <t>HG</t>
    <phoneticPr fontId="2" type="noConversion"/>
  </si>
  <si>
    <t>LF</t>
    <phoneticPr fontId="2" type="noConversion"/>
  </si>
  <si>
    <t>아슬란</t>
    <phoneticPr fontId="2" type="noConversion"/>
  </si>
  <si>
    <t>LF 하이브리드</t>
    <phoneticPr fontId="2" type="noConversion"/>
  </si>
  <si>
    <t>투싼</t>
    <phoneticPr fontId="2" type="noConversion"/>
  </si>
  <si>
    <t>제네시스 계</t>
    <phoneticPr fontId="37" type="noConversion"/>
  </si>
  <si>
    <t>EQ900</t>
    <phoneticPr fontId="2" type="noConversion"/>
  </si>
  <si>
    <t>아이오닉</t>
    <phoneticPr fontId="2" type="noConversion"/>
  </si>
  <si>
    <t>2월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</si>
  <si>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</si>
  <si>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</si>
  <si>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</si>
  <si>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전기차</t>
    <phoneticPr fontId="2" type="noConversion"/>
  </si>
  <si>
    <t>7월</t>
    <phoneticPr fontId="2" type="noConversion"/>
  </si>
  <si>
    <t>8월</t>
    <phoneticPr fontId="2" type="noConversion"/>
  </si>
  <si>
    <t>9월</t>
    <phoneticPr fontId="2" type="noConversion"/>
  </si>
  <si>
    <t>10월</t>
    <phoneticPr fontId="2" type="noConversion"/>
  </si>
  <si>
    <t>IG</t>
    <phoneticPr fontId="2" type="noConversion"/>
  </si>
  <si>
    <t>11월</t>
    <phoneticPr fontId="2" type="noConversion"/>
  </si>
  <si>
    <t>12월</t>
    <phoneticPr fontId="2" type="noConversion"/>
  </si>
  <si>
    <t>2017년</t>
    <phoneticPr fontId="2" type="noConversion"/>
  </si>
  <si>
    <t>※ 2017년</t>
    <phoneticPr fontId="2" type="noConversion"/>
  </si>
  <si>
    <t>하이브리드(HG)</t>
    <phoneticPr fontId="2" type="noConversion"/>
  </si>
  <si>
    <t>하이브리드(IG)</t>
    <phoneticPr fontId="2" type="noConversion"/>
  </si>
  <si>
    <t>코나</t>
    <phoneticPr fontId="2" type="noConversion"/>
  </si>
  <si>
    <t>코나</t>
    <phoneticPr fontId="2" type="noConversion"/>
  </si>
  <si>
    <t>G70</t>
    <phoneticPr fontId="2" type="noConversion"/>
  </si>
  <si>
    <t>G70</t>
    <phoneticPr fontId="2" type="noConversion"/>
  </si>
  <si>
    <t>G80</t>
    <phoneticPr fontId="2" type="noConversion"/>
  </si>
  <si>
    <t>2018년</t>
    <phoneticPr fontId="2" type="noConversion"/>
  </si>
  <si>
    <t>※ 2018년</t>
    <phoneticPr fontId="2" type="noConversion"/>
  </si>
  <si>
    <t>싼타페</t>
    <phoneticPr fontId="2" type="noConversion"/>
  </si>
  <si>
    <t>DM</t>
    <phoneticPr fontId="2" type="noConversion"/>
  </si>
  <si>
    <t>TM</t>
    <phoneticPr fontId="2" type="noConversion"/>
  </si>
  <si>
    <t>넥쏘</t>
    <phoneticPr fontId="2" type="noConversion"/>
  </si>
  <si>
    <t>넥쏘</t>
    <phoneticPr fontId="2" type="noConversion"/>
  </si>
  <si>
    <t>승용 계</t>
    <phoneticPr fontId="37" type="noConversion"/>
  </si>
  <si>
    <t>코나</t>
    <phoneticPr fontId="2" type="noConversion"/>
  </si>
  <si>
    <t>OS</t>
    <phoneticPr fontId="2" type="noConversion"/>
  </si>
  <si>
    <t>G90/EQ900</t>
    <phoneticPr fontId="2" type="noConversion"/>
  </si>
  <si>
    <t>EQ900</t>
    <phoneticPr fontId="2" type="noConversion"/>
  </si>
  <si>
    <t>G90</t>
    <phoneticPr fontId="2" type="noConversion"/>
  </si>
  <si>
    <t>G90/EQ900</t>
    <phoneticPr fontId="2" type="noConversion"/>
  </si>
  <si>
    <t>팰리세이드</t>
    <phoneticPr fontId="2" type="noConversion"/>
  </si>
  <si>
    <t>팰리세이드</t>
    <phoneticPr fontId="2" type="noConversion"/>
  </si>
  <si>
    <t>※ 2019년</t>
    <phoneticPr fontId="2" type="noConversion"/>
  </si>
  <si>
    <t>DN8</t>
    <phoneticPr fontId="2" type="noConversion"/>
  </si>
  <si>
    <t>베뉴</t>
    <phoneticPr fontId="2" type="noConversion"/>
  </si>
  <si>
    <t>베뉴</t>
    <phoneticPr fontId="2" type="noConversion"/>
  </si>
  <si>
    <t>DN8 HEV</t>
    <phoneticPr fontId="2" type="noConversion"/>
  </si>
  <si>
    <t>IG HEV</t>
    <phoneticPr fontId="2" type="noConversion"/>
  </si>
  <si>
    <t>LF HEV</t>
    <phoneticPr fontId="2" type="noConversion"/>
  </si>
  <si>
    <t>HEV</t>
    <phoneticPr fontId="2" type="noConversion"/>
  </si>
  <si>
    <t>EV</t>
    <phoneticPr fontId="2" type="noConversion"/>
  </si>
  <si>
    <t>EV</t>
    <phoneticPr fontId="2" type="noConversion"/>
  </si>
  <si>
    <t>포터</t>
    <phoneticPr fontId="2" type="noConversion"/>
  </si>
  <si>
    <t>2020년</t>
    <phoneticPr fontId="2" type="noConversion"/>
  </si>
  <si>
    <t>※ 2020년</t>
    <phoneticPr fontId="2" type="noConversion"/>
  </si>
  <si>
    <t>GV80</t>
    <phoneticPr fontId="2" type="noConversion"/>
  </si>
  <si>
    <t>GV80</t>
    <phoneticPr fontId="2" type="noConversion"/>
  </si>
  <si>
    <t>DH</t>
    <phoneticPr fontId="2" type="noConversion"/>
  </si>
  <si>
    <t>RG3</t>
    <phoneticPr fontId="2" type="noConversion"/>
  </si>
  <si>
    <t>AD</t>
    <phoneticPr fontId="2" type="noConversion"/>
  </si>
  <si>
    <t>CN7</t>
    <phoneticPr fontId="2" type="noConversion"/>
  </si>
  <si>
    <t>CN7 HEV</t>
    <phoneticPr fontId="2" type="noConversion"/>
  </si>
  <si>
    <t>TL</t>
    <phoneticPr fontId="2" type="noConversion"/>
  </si>
  <si>
    <t>NX4</t>
    <phoneticPr fontId="2" type="noConversion"/>
  </si>
  <si>
    <t>NX4 HEV</t>
    <phoneticPr fontId="2" type="noConversion"/>
  </si>
  <si>
    <t>수소전기차</t>
    <phoneticPr fontId="2" type="noConversion"/>
  </si>
  <si>
    <t>친환경차 합계</t>
    <phoneticPr fontId="2" type="noConversion"/>
  </si>
  <si>
    <t>※ 국내 친환경차 판매(하이브리드 / 전기차 / 수소전기차)</t>
    <phoneticPr fontId="2" type="noConversion"/>
  </si>
  <si>
    <t>GV70</t>
    <phoneticPr fontId="2" type="noConversion"/>
  </si>
  <si>
    <t>GV70</t>
    <phoneticPr fontId="2" type="noConversion"/>
  </si>
  <si>
    <t>※ 2021년</t>
    <phoneticPr fontId="2" type="noConversion"/>
  </si>
  <si>
    <t>2021년</t>
    <phoneticPr fontId="2" type="noConversion"/>
  </si>
  <si>
    <t>2월</t>
    <phoneticPr fontId="2" type="noConversion"/>
  </si>
  <si>
    <t>2019년</t>
    <phoneticPr fontId="2" type="noConversion"/>
  </si>
  <si>
    <t>3월</t>
    <phoneticPr fontId="2" type="noConversion"/>
  </si>
  <si>
    <t>4월</t>
    <phoneticPr fontId="2" type="noConversion"/>
  </si>
  <si>
    <t>아이오닉 5</t>
    <phoneticPr fontId="2" type="noConversion"/>
  </si>
  <si>
    <t>스타리아</t>
    <phoneticPr fontId="2" type="noConversion"/>
  </si>
  <si>
    <t>아이오닉 5</t>
    <phoneticPr fontId="2" type="noConversion"/>
  </si>
  <si>
    <t>스타리아</t>
    <phoneticPr fontId="2" type="noConversion"/>
  </si>
  <si>
    <t>5월</t>
    <phoneticPr fontId="2" type="noConversion"/>
  </si>
  <si>
    <t>6월</t>
    <phoneticPr fontId="2" type="noConversion"/>
  </si>
  <si>
    <t>N</t>
    <phoneticPr fontId="2" type="noConversion"/>
  </si>
  <si>
    <t>7월</t>
    <phoneticPr fontId="2" type="noConversion"/>
  </si>
  <si>
    <t>G80</t>
    <phoneticPr fontId="2" type="noConversion"/>
  </si>
  <si>
    <t>산타페</t>
    <phoneticPr fontId="2" type="noConversion"/>
  </si>
  <si>
    <t>TM HEV</t>
    <phoneticPr fontId="2" type="noConversion"/>
  </si>
  <si>
    <t>8월</t>
    <phoneticPr fontId="2" type="noConversion"/>
  </si>
  <si>
    <t>9월</t>
    <phoneticPr fontId="2" type="noConversion"/>
  </si>
  <si>
    <t>캐스퍼</t>
    <phoneticPr fontId="2" type="noConversion"/>
  </si>
  <si>
    <t>캐스퍼</t>
    <phoneticPr fontId="2" type="noConversion"/>
  </si>
  <si>
    <t>10월</t>
    <phoneticPr fontId="2" type="noConversion"/>
  </si>
  <si>
    <t>GV60</t>
    <phoneticPr fontId="2" type="noConversion"/>
  </si>
  <si>
    <t>GV60</t>
    <phoneticPr fontId="2" type="noConversion"/>
  </si>
  <si>
    <t>11월</t>
    <phoneticPr fontId="2" type="noConversion"/>
  </si>
  <si>
    <t>12월</t>
    <phoneticPr fontId="2" type="noConversion"/>
  </si>
  <si>
    <t>※ 2022년</t>
    <phoneticPr fontId="2" type="noConversion"/>
  </si>
  <si>
    <t>2022년</t>
    <phoneticPr fontId="2" type="noConversion"/>
  </si>
  <si>
    <t>JK</t>
    <phoneticPr fontId="2" type="noConversion"/>
  </si>
  <si>
    <t>RG3 EV</t>
    <phoneticPr fontId="2" type="noConversion"/>
  </si>
  <si>
    <t>JK EV</t>
    <phoneticPr fontId="2" type="noConversion"/>
  </si>
  <si>
    <t>HR</t>
    <phoneticPr fontId="2" type="noConversion"/>
  </si>
  <si>
    <t>HR EV</t>
    <phoneticPr fontId="2" type="noConversion"/>
  </si>
  <si>
    <t>아이오닉 6</t>
    <phoneticPr fontId="2" type="noConversion"/>
  </si>
  <si>
    <t>GN7</t>
    <phoneticPr fontId="2" type="noConversion"/>
  </si>
  <si>
    <t>GN7 HEV</t>
    <phoneticPr fontId="2" type="noConversion"/>
  </si>
  <si>
    <t>2023년</t>
    <phoneticPr fontId="2" type="noConversion"/>
  </si>
  <si>
    <t>※ 2023년</t>
    <phoneticPr fontId="2" type="noConversion"/>
  </si>
  <si>
    <t>SX2</t>
    <phoneticPr fontId="2" type="noConversion"/>
  </si>
  <si>
    <t>SX2 HEV</t>
    <phoneticPr fontId="2" type="noConversion"/>
  </si>
  <si>
    <t>OS HEV</t>
    <phoneticPr fontId="2" type="noConversion"/>
  </si>
  <si>
    <t>OS N</t>
    <phoneticPr fontId="2" type="noConversion"/>
  </si>
  <si>
    <t>CN7 N</t>
    <phoneticPr fontId="2" type="noConversion"/>
  </si>
  <si>
    <t>SX2 EV</t>
    <phoneticPr fontId="2" type="noConversion"/>
  </si>
  <si>
    <t>MX5</t>
    <phoneticPr fontId="2" type="noConversion"/>
  </si>
  <si>
    <t>MX5 HEV</t>
    <phoneticPr fontId="2" type="noConversion"/>
  </si>
  <si>
    <t xml:space="preserve"> </t>
    <phoneticPr fontId="2" type="noConversion"/>
  </si>
  <si>
    <t>NE</t>
    <phoneticPr fontId="2" type="noConversion"/>
  </si>
  <si>
    <t>NE N</t>
    <phoneticPr fontId="2" type="noConversion"/>
  </si>
  <si>
    <t>2024년</t>
    <phoneticPr fontId="2" type="noConversion"/>
  </si>
  <si>
    <t>※ 2024년</t>
    <phoneticPr fontId="2" type="noConversion"/>
  </si>
  <si>
    <t>구 분</t>
    <phoneticPr fontId="2" type="noConversion"/>
  </si>
  <si>
    <t>전년동월
대비</t>
    <phoneticPr fontId="2" type="noConversion"/>
  </si>
  <si>
    <t>전월
대비</t>
    <phoneticPr fontId="2" type="noConversion"/>
  </si>
  <si>
    <t>전년누계
대비</t>
    <phoneticPr fontId="2" type="noConversion"/>
  </si>
  <si>
    <t>US4</t>
    <phoneticPr fontId="2" type="noConversion"/>
  </si>
  <si>
    <t>US4 HEV</t>
    <phoneticPr fontId="2" type="noConversion"/>
  </si>
  <si>
    <t>택시</t>
    <phoneticPr fontId="2" type="noConversion"/>
  </si>
  <si>
    <t>전월대비
(%)</t>
    <phoneticPr fontId="2" type="noConversion"/>
  </si>
  <si>
    <t>ST1</t>
    <phoneticPr fontId="2" type="noConversion"/>
  </si>
  <si>
    <t xml:space="preserve">sdpsms </t>
    <phoneticPr fontId="2" type="noConversion"/>
  </si>
  <si>
    <t>AX</t>
    <phoneticPr fontId="2" type="noConversion"/>
  </si>
  <si>
    <t>AX EV</t>
    <phoneticPr fontId="2" type="noConversion"/>
  </si>
  <si>
    <t>2025년</t>
    <phoneticPr fontId="2" type="noConversion"/>
  </si>
  <si>
    <t>※ 2025년</t>
    <phoneticPr fontId="2" type="noConversion"/>
  </si>
  <si>
    <t>■ 현대차 2025년 내수 월별 판매실적</t>
    <phoneticPr fontId="2" type="noConversion"/>
  </si>
  <si>
    <t>LX2</t>
    <phoneticPr fontId="2" type="noConversion"/>
  </si>
  <si>
    <t>LX3</t>
    <phoneticPr fontId="2" type="noConversion"/>
  </si>
  <si>
    <t>아이오닉 9</t>
    <phoneticPr fontId="2" type="noConversion"/>
  </si>
  <si>
    <t>-</t>
    <phoneticPr fontId="2" type="noConversion"/>
  </si>
  <si>
    <t>LX3 HEV</t>
    <phoneticPr fontId="2" type="noConversion"/>
  </si>
  <si>
    <t>■ 현대차 2025년 10월 판매실적</t>
    <phoneticPr fontId="2" type="noConversion"/>
  </si>
  <si>
    <t>'25년
1~10월</t>
    <phoneticPr fontId="2" type="noConversion"/>
  </si>
  <si>
    <t>'24년
1~10월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</si>
</sst>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■ 현대차 2010년 &quot;##&quot;월 판매실적&quot;"/>
    <numFmt numFmtId="181" formatCode="#&quot;년&quot;"/>
    <numFmt numFmtId="182" formatCode="####&quot;년&quot;"/>
    <numFmt numFmtId="183" formatCode="0&quot;년&quot;"/>
    <numFmt numFmtId="184" formatCode="&quot;1-&quot;0&quot;월&quot;"/>
  </numFmts>
  <fonts count="6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HY헤드라인M"/>
      <family val="1"/>
      <charset val="129"/>
    </font>
    <font>
      <sz val="7.5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name val="HY헤드라인M"/>
      <family val="1"/>
      <charset val="129"/>
    </font>
    <font>
      <sz val="12"/>
      <name val="HY헤드라인M"/>
      <family val="1"/>
      <charset val="129"/>
    </font>
    <font>
      <sz val="12"/>
      <name val="Times New Roman"/>
      <family val="1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Times New Roman"/>
      <family val="1"/>
    </font>
    <font>
      <sz val="9"/>
      <name val="새굴림"/>
      <family val="1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1"/>
      <name val="HY헤드라인M"/>
      <family val="1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9"/>
      <name val="Times New Roman"/>
      <family val="1"/>
    </font>
    <font>
      <sz val="11"/>
      <name val="바탕"/>
      <family val="1"/>
      <charset val="129"/>
    </font>
    <font>
      <sz val="7.5"/>
      <name val="HY헤드라인M"/>
      <family val="1"/>
      <charset val="129"/>
    </font>
    <font>
      <b/>
      <sz val="8"/>
      <name val="돋움"/>
      <family val="3"/>
      <charset val="129"/>
    </font>
    <font>
      <sz val="5"/>
      <name val="돋움"/>
      <family val="3"/>
      <charset val="129"/>
    </font>
    <font>
      <sz val="6"/>
      <name val="돋움"/>
      <family val="3"/>
      <charset val="129"/>
    </font>
    <font>
      <b/>
      <sz val="12"/>
      <name val="가는각진제목체"/>
      <family val="1"/>
      <charset val="129"/>
    </font>
    <font>
      <sz val="12"/>
      <name val="가는각진제목체"/>
      <family val="1"/>
      <charset val="129"/>
    </font>
    <font>
      <sz val="8"/>
      <name val="Times New Roman"/>
      <family val="1"/>
    </font>
    <font>
      <sz val="9"/>
      <name val="HY헤드라인M"/>
      <family val="1"/>
      <charset val="129"/>
    </font>
    <font>
      <sz val="7"/>
      <name val="HY헤드라인M"/>
      <family val="1"/>
      <charset val="129"/>
    </font>
    <font>
      <b/>
      <sz val="10"/>
      <name val="Arial"/>
      <family val="2"/>
    </font>
    <font>
      <i/>
      <sz val="9"/>
      <name val="HY헤드라인M"/>
      <family val="1"/>
      <charset val="129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HY헤드라인M"/>
      <family val="1"/>
      <charset val="129"/>
    </font>
    <font>
      <b/>
      <sz val="11"/>
      <name val="Arial"/>
      <family val="2"/>
    </font>
    <font>
      <sz val="11"/>
      <color theme="1"/>
      <name val="기아 Medium"/>
      <family val="3"/>
      <charset val="129"/>
    </font>
    <font>
      <b/>
      <sz val="10"/>
      <color theme="1"/>
      <name val="Arial"/>
      <family val="2"/>
    </font>
    <font>
      <sz val="11"/>
      <color rgb="FFFF0000"/>
      <name val="굴림"/>
      <family val="3"/>
      <charset val="129"/>
    </font>
    <font>
      <sz val="14"/>
      <name val="HY헤드라인M"/>
      <family val="1"/>
      <charset val="129"/>
    </font>
    <font>
      <sz val="9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55" fillId="0" borderId="0">
      <alignment vertical="center"/>
    </xf>
    <xf numFmtId="0" fontId="1" fillId="0" borderId="0"/>
  </cellStyleXfs>
  <cellXfs count="4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0" xfId="33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center" vertical="center"/>
    </xf>
    <xf numFmtId="179" fontId="3" fillId="0" borderId="13" xfId="0" applyNumberFormat="1" applyFont="1" applyBorder="1" applyAlignment="1">
      <alignment horizontal="center" vertical="center"/>
    </xf>
    <xf numFmtId="179" fontId="3" fillId="0" borderId="1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33" applyFont="1">
      <alignment vertical="center"/>
    </xf>
    <xf numFmtId="0" fontId="2" fillId="24" borderId="0" xfId="0" applyFont="1" applyFill="1">
      <alignment vertical="center"/>
    </xf>
    <xf numFmtId="41" fontId="2" fillId="0" borderId="0" xfId="33" applyFont="1">
      <alignment vertical="center"/>
    </xf>
    <xf numFmtId="0" fontId="2" fillId="0" borderId="0" xfId="0" applyFont="1">
      <alignment vertical="center"/>
    </xf>
    <xf numFmtId="179" fontId="6" fillId="0" borderId="15" xfId="33" applyNumberFormat="1" applyFont="1" applyBorder="1" applyAlignment="1">
      <alignment horizontal="center" vertical="center"/>
    </xf>
    <xf numFmtId="179" fontId="6" fillId="0" borderId="16" xfId="33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41" fontId="6" fillId="0" borderId="19" xfId="33" applyFont="1" applyBorder="1" applyAlignment="1">
      <alignment horizontal="center" vertical="center"/>
    </xf>
    <xf numFmtId="41" fontId="6" fillId="0" borderId="20" xfId="33" applyFont="1" applyBorder="1" applyAlignment="1">
      <alignment horizontal="center" vertical="center"/>
    </xf>
    <xf numFmtId="41" fontId="6" fillId="0" borderId="21" xfId="33" applyFont="1" applyBorder="1" applyAlignment="1">
      <alignment horizontal="center" vertical="center"/>
    </xf>
    <xf numFmtId="41" fontId="6" fillId="0" borderId="23" xfId="33" applyFont="1" applyBorder="1" applyAlignment="1">
      <alignment horizontal="center" vertical="center"/>
    </xf>
    <xf numFmtId="41" fontId="6" fillId="0" borderId="24" xfId="33" applyFont="1" applyBorder="1" applyAlignment="1">
      <alignment horizontal="center" vertical="center"/>
    </xf>
    <xf numFmtId="41" fontId="6" fillId="0" borderId="25" xfId="33" applyFont="1" applyBorder="1" applyAlignment="1">
      <alignment horizontal="center" vertical="center"/>
    </xf>
    <xf numFmtId="41" fontId="6" fillId="0" borderId="24" xfId="33" applyFont="1" applyFill="1" applyBorder="1" applyAlignment="1">
      <alignment horizontal="center" vertical="center"/>
    </xf>
    <xf numFmtId="41" fontId="6" fillId="25" borderId="23" xfId="33" applyFont="1" applyFill="1" applyBorder="1" applyAlignment="1">
      <alignment horizontal="center" vertical="center"/>
    </xf>
    <xf numFmtId="41" fontId="6" fillId="25" borderId="27" xfId="33" applyFont="1" applyFill="1" applyBorder="1" applyAlignment="1">
      <alignment horizontal="center" vertical="center"/>
    </xf>
    <xf numFmtId="41" fontId="6" fillId="0" borderId="29" xfId="33" applyFont="1" applyBorder="1" applyAlignment="1">
      <alignment horizontal="center" vertical="center"/>
    </xf>
    <xf numFmtId="41" fontId="6" fillId="0" borderId="30" xfId="33" applyFont="1" applyBorder="1" applyAlignment="1">
      <alignment horizontal="center" vertical="center"/>
    </xf>
    <xf numFmtId="41" fontId="6" fillId="0" borderId="31" xfId="33" applyFont="1" applyBorder="1" applyAlignment="1">
      <alignment horizontal="center" vertical="center"/>
    </xf>
    <xf numFmtId="178" fontId="6" fillId="25" borderId="32" xfId="0" applyNumberFormat="1" applyFont="1" applyFill="1" applyBorder="1" applyAlignment="1">
      <alignment horizontal="center" vertical="center"/>
    </xf>
    <xf numFmtId="41" fontId="6" fillId="25" borderId="33" xfId="33" applyFont="1" applyFill="1" applyBorder="1" applyAlignment="1">
      <alignment horizontal="center" vertical="center"/>
    </xf>
    <xf numFmtId="41" fontId="6" fillId="25" borderId="34" xfId="33" applyFont="1" applyFill="1" applyBorder="1" applyAlignment="1">
      <alignment horizontal="center" vertical="center"/>
    </xf>
    <xf numFmtId="41" fontId="6" fillId="26" borderId="35" xfId="33" applyFont="1" applyFill="1" applyBorder="1" applyAlignment="1">
      <alignment horizontal="center" vertical="center"/>
    </xf>
    <xf numFmtId="41" fontId="34" fillId="0" borderId="0" xfId="33" applyFont="1" applyFill="1" applyBorder="1" applyAlignme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32" fillId="0" borderId="37" xfId="0" applyFont="1" applyBorder="1" applyAlignment="1">
      <alignment horizontal="center" vertical="center"/>
    </xf>
    <xf numFmtId="41" fontId="27" fillId="0" borderId="0" xfId="0" applyNumberFormat="1" applyFont="1">
      <alignment vertical="center"/>
    </xf>
    <xf numFmtId="0" fontId="7" fillId="0" borderId="38" xfId="0" quotePrefix="1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 wrapText="1"/>
    </xf>
    <xf numFmtId="0" fontId="35" fillId="27" borderId="43" xfId="0" applyFont="1" applyFill="1" applyBorder="1" applyAlignment="1">
      <alignment horizontal="centerContinuous" vertical="center"/>
    </xf>
    <xf numFmtId="0" fontId="7" fillId="27" borderId="36" xfId="0" applyFont="1" applyFill="1" applyBorder="1" applyAlignment="1">
      <alignment horizontal="centerContinuous" vertical="center"/>
    </xf>
    <xf numFmtId="0" fontId="7" fillId="0" borderId="36" xfId="0" applyFont="1" applyBorder="1" applyAlignment="1">
      <alignment horizontal="centerContinuous" vertical="center"/>
    </xf>
    <xf numFmtId="0" fontId="7" fillId="27" borderId="44" xfId="0" applyFont="1" applyFill="1" applyBorder="1" applyAlignment="1">
      <alignment horizontal="centerContinuous" vertical="center"/>
    </xf>
    <xf numFmtId="0" fontId="36" fillId="0" borderId="0" xfId="0" applyFont="1">
      <alignment vertical="center"/>
    </xf>
    <xf numFmtId="41" fontId="6" fillId="0" borderId="46" xfId="33" applyFont="1" applyFill="1" applyBorder="1" applyAlignment="1">
      <alignment horizontal="center" vertical="center"/>
    </xf>
    <xf numFmtId="41" fontId="6" fillId="0" borderId="46" xfId="33" applyFont="1" applyBorder="1" applyAlignment="1">
      <alignment horizontal="center" vertical="center"/>
    </xf>
    <xf numFmtId="41" fontId="6" fillId="0" borderId="48" xfId="33" applyFont="1" applyBorder="1" applyAlignment="1">
      <alignment horizontal="center" vertical="center"/>
    </xf>
    <xf numFmtId="41" fontId="6" fillId="0" borderId="49" xfId="33" applyFont="1" applyBorder="1" applyAlignment="1">
      <alignment horizontal="center" vertical="center"/>
    </xf>
    <xf numFmtId="41" fontId="6" fillId="0" borderId="50" xfId="33" applyFont="1" applyBorder="1" applyAlignment="1">
      <alignment horizontal="center" vertical="center"/>
    </xf>
    <xf numFmtId="41" fontId="6" fillId="0" borderId="49" xfId="33" applyFont="1" applyFill="1" applyBorder="1" applyAlignment="1">
      <alignment horizontal="center" vertical="center"/>
    </xf>
    <xf numFmtId="0" fontId="31" fillId="28" borderId="51" xfId="0" quotePrefix="1" applyFont="1" applyFill="1" applyBorder="1" applyAlignment="1">
      <alignment horizontal="center" vertical="center" wrapText="1"/>
    </xf>
    <xf numFmtId="0" fontId="31" fillId="28" borderId="52" xfId="0" applyFont="1" applyFill="1" applyBorder="1" applyAlignment="1">
      <alignment horizontal="center" vertical="center" wrapText="1"/>
    </xf>
    <xf numFmtId="0" fontId="2" fillId="25" borderId="53" xfId="0" applyFont="1" applyFill="1" applyBorder="1">
      <alignment vertical="center"/>
    </xf>
    <xf numFmtId="0" fontId="2" fillId="25" borderId="54" xfId="0" applyFont="1" applyFill="1" applyBorder="1">
      <alignment vertical="center"/>
    </xf>
    <xf numFmtId="41" fontId="2" fillId="25" borderId="54" xfId="33" applyFont="1" applyFill="1" applyBorder="1">
      <alignment vertical="center"/>
    </xf>
    <xf numFmtId="41" fontId="2" fillId="25" borderId="54" xfId="0" applyNumberFormat="1" applyFont="1" applyFill="1" applyBorder="1">
      <alignment vertical="center"/>
    </xf>
    <xf numFmtId="0" fontId="2" fillId="25" borderId="55" xfId="0" applyFont="1" applyFill="1" applyBorder="1">
      <alignment vertical="center"/>
    </xf>
    <xf numFmtId="0" fontId="2" fillId="0" borderId="54" xfId="0" applyFont="1" applyBorder="1">
      <alignment vertical="center"/>
    </xf>
    <xf numFmtId="41" fontId="6" fillId="0" borderId="54" xfId="33" applyFont="1" applyBorder="1" applyAlignment="1">
      <alignment horizontal="center" vertical="center"/>
    </xf>
    <xf numFmtId="41" fontId="2" fillId="0" borderId="54" xfId="0" applyNumberFormat="1" applyFont="1" applyBorder="1">
      <alignment vertical="center"/>
    </xf>
    <xf numFmtId="0" fontId="2" fillId="25" borderId="56" xfId="0" applyFont="1" applyFill="1" applyBorder="1">
      <alignment vertical="center"/>
    </xf>
    <xf numFmtId="41" fontId="2" fillId="0" borderId="54" xfId="33" applyFont="1" applyBorder="1">
      <alignment vertical="center"/>
    </xf>
    <xf numFmtId="0" fontId="2" fillId="25" borderId="57" xfId="0" applyFont="1" applyFill="1" applyBorder="1">
      <alignment vertical="center"/>
    </xf>
    <xf numFmtId="0" fontId="2" fillId="25" borderId="58" xfId="0" applyFont="1" applyFill="1" applyBorder="1">
      <alignment vertical="center"/>
    </xf>
    <xf numFmtId="41" fontId="2" fillId="0" borderId="0" xfId="33" applyFont="1" applyBorder="1">
      <alignment vertical="center"/>
    </xf>
    <xf numFmtId="41" fontId="2" fillId="0" borderId="0" xfId="0" applyNumberFormat="1" applyFont="1">
      <alignment vertical="center"/>
    </xf>
    <xf numFmtId="41" fontId="6" fillId="0" borderId="58" xfId="33" applyFont="1" applyBorder="1" applyAlignment="1">
      <alignment horizontal="center" vertical="center"/>
    </xf>
    <xf numFmtId="41" fontId="2" fillId="0" borderId="58" xfId="33" applyFont="1" applyBorder="1">
      <alignment vertical="center"/>
    </xf>
    <xf numFmtId="41" fontId="6" fillId="0" borderId="59" xfId="33" applyFont="1" applyBorder="1" applyAlignment="1">
      <alignment horizontal="center" vertical="center"/>
    </xf>
    <xf numFmtId="41" fontId="6" fillId="0" borderId="60" xfId="33" applyFont="1" applyBorder="1" applyAlignment="1">
      <alignment horizontal="center" vertical="center"/>
    </xf>
    <xf numFmtId="0" fontId="27" fillId="0" borderId="0" xfId="46" applyFont="1" applyAlignment="1">
      <alignment vertical="center"/>
    </xf>
    <xf numFmtId="0" fontId="32" fillId="0" borderId="0" xfId="46" applyFont="1" applyAlignment="1">
      <alignment vertical="center" wrapText="1"/>
    </xf>
    <xf numFmtId="41" fontId="32" fillId="0" borderId="0" xfId="46" applyNumberFormat="1" applyFont="1" applyAlignment="1">
      <alignment vertical="center"/>
    </xf>
    <xf numFmtId="0" fontId="32" fillId="0" borderId="0" xfId="46" applyFont="1" applyAlignment="1">
      <alignment vertical="center"/>
    </xf>
    <xf numFmtId="0" fontId="32" fillId="0" borderId="0" xfId="46" applyFont="1" applyAlignment="1">
      <alignment horizontal="left" vertical="center"/>
    </xf>
    <xf numFmtId="0" fontId="38" fillId="0" borderId="0" xfId="46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9" borderId="0" xfId="0" applyFont="1" applyFill="1" applyAlignment="1">
      <alignment horizontal="center" vertical="center"/>
    </xf>
    <xf numFmtId="41" fontId="34" fillId="0" borderId="0" xfId="33" applyFont="1" applyBorder="1" applyAlignment="1">
      <alignment vertical="center"/>
    </xf>
    <xf numFmtId="0" fontId="40" fillId="0" borderId="0" xfId="0" applyFont="1">
      <alignment vertical="center"/>
    </xf>
    <xf numFmtId="0" fontId="6" fillId="0" borderId="0" xfId="0" applyFont="1">
      <alignment vertical="center"/>
    </xf>
    <xf numFmtId="41" fontId="41" fillId="0" borderId="0" xfId="33" applyFont="1">
      <alignment vertical="center"/>
    </xf>
    <xf numFmtId="41" fontId="6" fillId="0" borderId="54" xfId="33" applyFont="1" applyBorder="1" applyAlignment="1">
      <alignment horizontal="right" vertical="center"/>
    </xf>
    <xf numFmtId="41" fontId="6" fillId="0" borderId="48" xfId="33" applyFont="1" applyFill="1" applyBorder="1" applyAlignment="1">
      <alignment horizontal="center" vertical="center"/>
    </xf>
    <xf numFmtId="41" fontId="6" fillId="0" borderId="48" xfId="33" applyFont="1" applyFill="1" applyBorder="1" applyAlignment="1">
      <alignment horizontal="right" vertical="center"/>
    </xf>
    <xf numFmtId="0" fontId="2" fillId="0" borderId="54" xfId="0" applyFont="1" applyBorder="1" applyAlignment="1">
      <alignment vertical="center" shrinkToFit="1"/>
    </xf>
    <xf numFmtId="0" fontId="7" fillId="0" borderId="38" xfId="0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textRotation="255"/>
    </xf>
    <xf numFmtId="41" fontId="6" fillId="0" borderId="62" xfId="33" applyFont="1" applyFill="1" applyBorder="1" applyAlignment="1">
      <alignment horizontal="center" vertical="center"/>
    </xf>
    <xf numFmtId="41" fontId="6" fillId="0" borderId="63" xfId="33" applyFont="1" applyFill="1" applyBorder="1" applyAlignment="1">
      <alignment horizontal="center" vertical="center"/>
    </xf>
    <xf numFmtId="179" fontId="29" fillId="28" borderId="44" xfId="0" quotePrefix="1" applyNumberFormat="1" applyFont="1" applyFill="1" applyBorder="1" applyAlignment="1">
      <alignment horizontal="center" vertical="center"/>
    </xf>
    <xf numFmtId="0" fontId="2" fillId="32" borderId="54" xfId="0" applyFont="1" applyFill="1" applyBorder="1">
      <alignment vertical="center"/>
    </xf>
    <xf numFmtId="41" fontId="6" fillId="32" borderId="59" xfId="33" applyFont="1" applyFill="1" applyBorder="1">
      <alignment vertical="center"/>
    </xf>
    <xf numFmtId="41" fontId="6" fillId="32" borderId="54" xfId="33" applyFont="1" applyFill="1" applyBorder="1">
      <alignment vertical="center"/>
    </xf>
    <xf numFmtId="41" fontId="6" fillId="32" borderId="60" xfId="33" applyFont="1" applyFill="1" applyBorder="1">
      <alignment vertical="center"/>
    </xf>
    <xf numFmtId="41" fontId="6" fillId="32" borderId="58" xfId="33" applyFont="1" applyFill="1" applyBorder="1">
      <alignment vertical="center"/>
    </xf>
    <xf numFmtId="41" fontId="6" fillId="32" borderId="54" xfId="0" applyNumberFormat="1" applyFont="1" applyFill="1" applyBorder="1">
      <alignment vertical="center"/>
    </xf>
    <xf numFmtId="0" fontId="43" fillId="0" borderId="54" xfId="0" applyFont="1" applyBorder="1">
      <alignment vertical="center"/>
    </xf>
    <xf numFmtId="49" fontId="7" fillId="0" borderId="65" xfId="0" applyNumberFormat="1" applyFont="1" applyBorder="1" applyAlignment="1">
      <alignment horizontal="center" vertical="center" textRotation="255"/>
    </xf>
    <xf numFmtId="41" fontId="6" fillId="0" borderId="29" xfId="33" applyFont="1" applyFill="1" applyBorder="1" applyAlignment="1">
      <alignment horizontal="center" vertical="center"/>
    </xf>
    <xf numFmtId="41" fontId="6" fillId="0" borderId="66" xfId="33" applyFont="1" applyFill="1" applyBorder="1" applyAlignment="1">
      <alignment horizontal="center" vertical="center"/>
    </xf>
    <xf numFmtId="0" fontId="7" fillId="27" borderId="67" xfId="0" applyFont="1" applyFill="1" applyBorder="1" applyAlignment="1">
      <alignment horizontal="centerContinuous" vertical="center"/>
    </xf>
    <xf numFmtId="0" fontId="7" fillId="27" borderId="68" xfId="0" applyFont="1" applyFill="1" applyBorder="1" applyAlignment="1">
      <alignment horizontal="centerContinuous" vertical="center"/>
    </xf>
    <xf numFmtId="176" fontId="33" fillId="27" borderId="69" xfId="29" applyNumberFormat="1" applyFont="1" applyFill="1" applyBorder="1" applyAlignment="1">
      <alignment vertical="center"/>
    </xf>
    <xf numFmtId="176" fontId="33" fillId="27" borderId="70" xfId="29" applyNumberFormat="1" applyFont="1" applyFill="1" applyBorder="1" applyAlignment="1">
      <alignment vertical="center"/>
    </xf>
    <xf numFmtId="0" fontId="35" fillId="27" borderId="71" xfId="0" applyFont="1" applyFill="1" applyBorder="1" applyAlignment="1">
      <alignment horizontal="centerContinuous" vertical="center"/>
    </xf>
    <xf numFmtId="177" fontId="3" fillId="27" borderId="72" xfId="33" applyNumberFormat="1" applyFont="1" applyFill="1" applyBorder="1" applyAlignment="1">
      <alignment horizontal="center" vertical="center"/>
    </xf>
    <xf numFmtId="177" fontId="3" fillId="31" borderId="72" xfId="33" applyNumberFormat="1" applyFont="1" applyFill="1" applyBorder="1" applyAlignment="1">
      <alignment horizontal="center" vertical="center"/>
    </xf>
    <xf numFmtId="177" fontId="3" fillId="24" borderId="66" xfId="33" applyNumberFormat="1" applyFont="1" applyFill="1" applyBorder="1" applyAlignment="1">
      <alignment horizontal="center" vertical="center"/>
    </xf>
    <xf numFmtId="177" fontId="3" fillId="27" borderId="73" xfId="33" applyNumberFormat="1" applyFont="1" applyFill="1" applyBorder="1" applyAlignment="1">
      <alignment horizontal="center" vertical="center"/>
    </xf>
    <xf numFmtId="177" fontId="3" fillId="31" borderId="73" xfId="33" applyNumberFormat="1" applyFont="1" applyFill="1" applyBorder="1" applyAlignment="1">
      <alignment horizontal="center" vertical="center"/>
    </xf>
    <xf numFmtId="177" fontId="3" fillId="24" borderId="27" xfId="33" applyNumberFormat="1" applyFont="1" applyFill="1" applyBorder="1" applyAlignment="1">
      <alignment horizontal="center" vertical="center"/>
    </xf>
    <xf numFmtId="177" fontId="3" fillId="27" borderId="74" xfId="33" applyNumberFormat="1" applyFont="1" applyFill="1" applyBorder="1" applyAlignment="1">
      <alignment horizontal="center" vertical="center"/>
    </xf>
    <xf numFmtId="177" fontId="3" fillId="31" borderId="74" xfId="33" applyNumberFormat="1" applyFont="1" applyFill="1" applyBorder="1" applyAlignment="1">
      <alignment horizontal="center" vertical="center"/>
    </xf>
    <xf numFmtId="177" fontId="3" fillId="24" borderId="75" xfId="33" applyNumberFormat="1" applyFont="1" applyFill="1" applyBorder="1" applyAlignment="1">
      <alignment horizontal="center" vertical="center"/>
    </xf>
    <xf numFmtId="177" fontId="3" fillId="27" borderId="76" xfId="33" applyNumberFormat="1" applyFont="1" applyFill="1" applyBorder="1" applyAlignment="1">
      <alignment horizontal="center" vertical="center"/>
    </xf>
    <xf numFmtId="177" fontId="3" fillId="31" borderId="76" xfId="33" applyNumberFormat="1" applyFont="1" applyFill="1" applyBorder="1" applyAlignment="1">
      <alignment horizontal="center" vertical="center"/>
    </xf>
    <xf numFmtId="177" fontId="3" fillId="24" borderId="64" xfId="33" applyNumberFormat="1" applyFont="1" applyFill="1" applyBorder="1" applyAlignment="1">
      <alignment horizontal="center" vertical="center"/>
    </xf>
    <xf numFmtId="178" fontId="6" fillId="0" borderId="28" xfId="0" applyNumberFormat="1" applyFont="1" applyBorder="1" applyAlignment="1">
      <alignment horizontal="left" vertical="center"/>
    </xf>
    <xf numFmtId="178" fontId="6" fillId="0" borderId="47" xfId="0" applyNumberFormat="1" applyFont="1" applyBorder="1" applyAlignment="1">
      <alignment horizontal="left" vertical="center"/>
    </xf>
    <xf numFmtId="178" fontId="6" fillId="0" borderId="22" xfId="0" applyNumberFormat="1" applyFont="1" applyBorder="1" applyAlignment="1">
      <alignment horizontal="left" vertical="center"/>
    </xf>
    <xf numFmtId="178" fontId="6" fillId="0" borderId="45" xfId="0" applyNumberFormat="1" applyFont="1" applyBorder="1" applyAlignment="1">
      <alignment horizontal="left" vertical="center"/>
    </xf>
    <xf numFmtId="178" fontId="6" fillId="25" borderId="32" xfId="0" applyNumberFormat="1" applyFont="1" applyFill="1" applyBorder="1" applyAlignment="1">
      <alignment horizontal="left" vertical="center"/>
    </xf>
    <xf numFmtId="178" fontId="6" fillId="0" borderId="18" xfId="0" applyNumberFormat="1" applyFont="1" applyBorder="1" applyAlignment="1">
      <alignment horizontal="left" vertical="center"/>
    </xf>
    <xf numFmtId="178" fontId="6" fillId="25" borderId="26" xfId="0" applyNumberFormat="1" applyFont="1" applyFill="1" applyBorder="1" applyAlignment="1">
      <alignment horizontal="left" vertical="center"/>
    </xf>
    <xf numFmtId="178" fontId="6" fillId="0" borderId="77" xfId="0" applyNumberFormat="1" applyFont="1" applyBorder="1" applyAlignment="1">
      <alignment horizontal="left" vertical="center"/>
    </xf>
    <xf numFmtId="0" fontId="35" fillId="0" borderId="36" xfId="0" applyFont="1" applyBorder="1" applyAlignment="1">
      <alignment horizontal="centerContinuous" vertical="center"/>
    </xf>
    <xf numFmtId="0" fontId="29" fillId="28" borderId="78" xfId="0" quotePrefix="1" applyFont="1" applyFill="1" applyBorder="1" applyAlignment="1">
      <alignment horizontal="center" vertical="center" wrapText="1"/>
    </xf>
    <xf numFmtId="0" fontId="28" fillId="28" borderId="79" xfId="0" quotePrefix="1" applyFont="1" applyFill="1" applyBorder="1" applyAlignment="1">
      <alignment horizontal="center" vertical="center" wrapText="1"/>
    </xf>
    <xf numFmtId="0" fontId="28" fillId="28" borderId="80" xfId="0" applyFont="1" applyFill="1" applyBorder="1" applyAlignment="1">
      <alignment horizontal="center" vertical="center" wrapText="1"/>
    </xf>
    <xf numFmtId="0" fontId="29" fillId="30" borderId="80" xfId="0" quotePrefix="1" applyFont="1" applyFill="1" applyBorder="1" applyAlignment="1">
      <alignment horizontal="center" vertical="center"/>
    </xf>
    <xf numFmtId="0" fontId="2" fillId="32" borderId="0" xfId="0" applyFont="1" applyFill="1">
      <alignment vertical="center"/>
    </xf>
    <xf numFmtId="41" fontId="6" fillId="32" borderId="0" xfId="33" applyFont="1" applyFill="1" applyBorder="1" applyAlignment="1">
      <alignment horizontal="center" vertical="center"/>
    </xf>
    <xf numFmtId="41" fontId="2" fillId="32" borderId="0" xfId="33" applyFont="1" applyFill="1" applyBorder="1">
      <alignment vertical="center"/>
    </xf>
    <xf numFmtId="41" fontId="2" fillId="32" borderId="0" xfId="0" applyNumberFormat="1" applyFont="1" applyFill="1">
      <alignment vertical="center"/>
    </xf>
    <xf numFmtId="0" fontId="6" fillId="32" borderId="0" xfId="0" applyFont="1" applyFill="1">
      <alignment vertical="center"/>
    </xf>
    <xf numFmtId="0" fontId="0" fillId="32" borderId="0" xfId="0" applyFill="1">
      <alignment vertical="center"/>
    </xf>
    <xf numFmtId="41" fontId="6" fillId="0" borderId="81" xfId="33" applyFont="1" applyBorder="1" applyAlignment="1">
      <alignment horizontal="center" vertical="center"/>
    </xf>
    <xf numFmtId="41" fontId="6" fillId="0" borderId="0" xfId="33" applyFont="1" applyBorder="1" applyAlignment="1">
      <alignment horizontal="center" vertical="center"/>
    </xf>
    <xf numFmtId="41" fontId="6" fillId="0" borderId="54" xfId="0" applyNumberFormat="1" applyFont="1" applyBorder="1">
      <alignment vertical="center"/>
    </xf>
    <xf numFmtId="41" fontId="6" fillId="0" borderId="58" xfId="33" applyFont="1" applyBorder="1">
      <alignment vertical="center"/>
    </xf>
    <xf numFmtId="41" fontId="6" fillId="0" borderId="54" xfId="33" applyFont="1" applyBorder="1">
      <alignment vertical="center"/>
    </xf>
    <xf numFmtId="41" fontId="6" fillId="0" borderId="0" xfId="33" applyFont="1" applyFill="1" applyBorder="1" applyAlignment="1">
      <alignment horizontal="center" vertical="center"/>
    </xf>
    <xf numFmtId="41" fontId="2" fillId="0" borderId="0" xfId="33" applyFont="1" applyFill="1" applyBorder="1">
      <alignment vertical="center"/>
    </xf>
    <xf numFmtId="41" fontId="5" fillId="0" borderId="0" xfId="33" applyFont="1" applyFill="1">
      <alignment vertical="center"/>
    </xf>
    <xf numFmtId="41" fontId="56" fillId="0" borderId="0" xfId="33" applyFont="1" applyFill="1" applyBorder="1" applyAlignment="1">
      <alignment vertical="center"/>
    </xf>
    <xf numFmtId="176" fontId="56" fillId="0" borderId="0" xfId="29" applyNumberFormat="1" applyFont="1" applyFill="1" applyBorder="1" applyAlignment="1">
      <alignment vertical="center"/>
    </xf>
    <xf numFmtId="176" fontId="33" fillId="29" borderId="55" xfId="29" applyNumberFormat="1" applyFont="1" applyFill="1" applyBorder="1" applyAlignment="1">
      <alignment vertical="center"/>
    </xf>
    <xf numFmtId="176" fontId="33" fillId="29" borderId="82" xfId="29" applyNumberFormat="1" applyFont="1" applyFill="1" applyBorder="1" applyAlignment="1">
      <alignment vertical="center"/>
    </xf>
    <xf numFmtId="176" fontId="33" fillId="0" borderId="82" xfId="29" applyNumberFormat="1" applyFont="1" applyFill="1" applyBorder="1" applyAlignment="1">
      <alignment vertical="center"/>
    </xf>
    <xf numFmtId="176" fontId="33" fillId="29" borderId="51" xfId="29" applyNumberFormat="1" applyFont="1" applyFill="1" applyBorder="1" applyAlignment="1">
      <alignment vertical="center"/>
    </xf>
    <xf numFmtId="176" fontId="33" fillId="29" borderId="52" xfId="29" applyNumberFormat="1" applyFont="1" applyFill="1" applyBorder="1" applyAlignment="1">
      <alignment vertical="center"/>
    </xf>
    <xf numFmtId="176" fontId="33" fillId="0" borderId="52" xfId="29" applyNumberFormat="1" applyFont="1" applyFill="1" applyBorder="1" applyAlignment="1">
      <alignment vertical="center"/>
    </xf>
    <xf numFmtId="176" fontId="33" fillId="29" borderId="37" xfId="29" applyNumberFormat="1" applyFont="1" applyFill="1" applyBorder="1" applyAlignment="1">
      <alignment vertical="center"/>
    </xf>
    <xf numFmtId="176" fontId="33" fillId="29" borderId="85" xfId="29" applyNumberFormat="1" applyFont="1" applyFill="1" applyBorder="1" applyAlignment="1">
      <alignment vertical="center"/>
    </xf>
    <xf numFmtId="176" fontId="33" fillId="0" borderId="85" xfId="29" applyNumberFormat="1" applyFont="1" applyFill="1" applyBorder="1" applyAlignment="1">
      <alignment vertical="center"/>
    </xf>
    <xf numFmtId="176" fontId="33" fillId="29" borderId="39" xfId="29" applyNumberFormat="1" applyFont="1" applyFill="1" applyBorder="1" applyAlignment="1">
      <alignment vertical="center"/>
    </xf>
    <xf numFmtId="176" fontId="33" fillId="29" borderId="56" xfId="29" applyNumberFormat="1" applyFont="1" applyFill="1" applyBorder="1" applyAlignment="1">
      <alignment vertical="center"/>
    </xf>
    <xf numFmtId="176" fontId="33" fillId="29" borderId="87" xfId="29" applyNumberFormat="1" applyFont="1" applyFill="1" applyBorder="1" applyAlignment="1">
      <alignment vertical="center"/>
    </xf>
    <xf numFmtId="176" fontId="33" fillId="0" borderId="87" xfId="29" applyNumberFormat="1" applyFont="1" applyFill="1" applyBorder="1" applyAlignment="1">
      <alignment vertical="center"/>
    </xf>
    <xf numFmtId="0" fontId="44" fillId="0" borderId="0" xfId="46" applyFont="1" applyAlignment="1">
      <alignment horizontal="left" vertical="top"/>
    </xf>
    <xf numFmtId="0" fontId="45" fillId="0" borderId="0" xfId="46" applyFont="1" applyAlignment="1">
      <alignment horizontal="left" vertical="top"/>
    </xf>
    <xf numFmtId="0" fontId="46" fillId="0" borderId="0" xfId="46" applyFont="1" applyAlignment="1">
      <alignment horizontal="center" vertical="center"/>
    </xf>
    <xf numFmtId="0" fontId="46" fillId="0" borderId="0" xfId="46" applyFont="1" applyAlignment="1">
      <alignment vertical="center"/>
    </xf>
    <xf numFmtId="0" fontId="48" fillId="30" borderId="89" xfId="46" applyFont="1" applyFill="1" applyBorder="1" applyAlignment="1">
      <alignment horizontal="center" vertical="center"/>
    </xf>
    <xf numFmtId="0" fontId="48" fillId="30" borderId="90" xfId="46" applyFont="1" applyFill="1" applyBorder="1" applyAlignment="1">
      <alignment horizontal="center" vertical="center" wrapText="1"/>
    </xf>
    <xf numFmtId="0" fontId="48" fillId="30" borderId="52" xfId="46" applyFont="1" applyFill="1" applyBorder="1" applyAlignment="1">
      <alignment horizontal="center" vertical="center" wrapText="1"/>
    </xf>
    <xf numFmtId="176" fontId="33" fillId="27" borderId="85" xfId="29" applyNumberFormat="1" applyFont="1" applyFill="1" applyBorder="1" applyAlignment="1">
      <alignment vertical="center"/>
    </xf>
    <xf numFmtId="176" fontId="33" fillId="27" borderId="92" xfId="29" applyNumberFormat="1" applyFont="1" applyFill="1" applyBorder="1" applyAlignment="1">
      <alignment vertical="center"/>
    </xf>
    <xf numFmtId="0" fontId="32" fillId="34" borderId="65" xfId="46" applyFont="1" applyFill="1" applyBorder="1" applyAlignment="1">
      <alignment vertical="center" wrapText="1"/>
    </xf>
    <xf numFmtId="176" fontId="33" fillId="0" borderId="54" xfId="29" applyNumberFormat="1" applyFont="1" applyFill="1" applyBorder="1" applyAlignment="1">
      <alignment vertical="center"/>
    </xf>
    <xf numFmtId="176" fontId="33" fillId="0" borderId="93" xfId="29" applyNumberFormat="1" applyFont="1" applyFill="1" applyBorder="1" applyAlignment="1">
      <alignment vertical="center"/>
    </xf>
    <xf numFmtId="176" fontId="33" fillId="0" borderId="93" xfId="29" applyNumberFormat="1" applyFont="1" applyBorder="1" applyAlignment="1">
      <alignment vertical="center"/>
    </xf>
    <xf numFmtId="0" fontId="32" fillId="34" borderId="95" xfId="46" applyFont="1" applyFill="1" applyBorder="1" applyAlignment="1">
      <alignment vertical="center" wrapText="1"/>
    </xf>
    <xf numFmtId="0" fontId="32" fillId="34" borderId="43" xfId="46" applyFont="1" applyFill="1" applyBorder="1" applyAlignment="1">
      <alignment vertical="center" wrapText="1"/>
    </xf>
    <xf numFmtId="41" fontId="54" fillId="0" borderId="97" xfId="33" applyFont="1" applyBorder="1" applyAlignment="1">
      <alignment horizontal="right" vertical="center"/>
    </xf>
    <xf numFmtId="41" fontId="54" fillId="27" borderId="99" xfId="33" applyFont="1" applyFill="1" applyBorder="1" applyAlignment="1">
      <alignment vertical="center"/>
    </xf>
    <xf numFmtId="41" fontId="54" fillId="0" borderId="0" xfId="33" applyFont="1" applyFill="1" applyBorder="1" applyAlignment="1">
      <alignment vertical="center"/>
    </xf>
    <xf numFmtId="0" fontId="3" fillId="32" borderId="0" xfId="0" applyFont="1" applyFill="1" applyAlignment="1">
      <alignment horizontal="center" vertical="center"/>
    </xf>
    <xf numFmtId="177" fontId="3" fillId="32" borderId="0" xfId="33" applyNumberFormat="1" applyFont="1" applyFill="1" applyBorder="1" applyAlignment="1">
      <alignment horizontal="center" vertical="center"/>
    </xf>
    <xf numFmtId="0" fontId="3" fillId="32" borderId="0" xfId="0" applyFont="1" applyFill="1">
      <alignment vertical="center"/>
    </xf>
    <xf numFmtId="41" fontId="54" fillId="27" borderId="44" xfId="33" applyFont="1" applyFill="1" applyBorder="1" applyAlignment="1">
      <alignment vertical="center"/>
    </xf>
    <xf numFmtId="176" fontId="33" fillId="27" borderId="100" xfId="29" applyNumberFormat="1" applyFont="1" applyFill="1" applyBorder="1" applyAlignment="1">
      <alignment vertical="center"/>
    </xf>
    <xf numFmtId="176" fontId="33" fillId="27" borderId="101" xfId="29" applyNumberFormat="1" applyFont="1" applyFill="1" applyBorder="1" applyAlignment="1">
      <alignment vertical="center"/>
    </xf>
    <xf numFmtId="0" fontId="57" fillId="27" borderId="36" xfId="0" applyFont="1" applyFill="1" applyBorder="1" applyAlignment="1">
      <alignment horizontal="centerContinuous" vertical="center"/>
    </xf>
    <xf numFmtId="176" fontId="33" fillId="0" borderId="102" xfId="29" applyNumberFormat="1" applyFont="1" applyFill="1" applyBorder="1" applyAlignment="1">
      <alignment vertical="center"/>
    </xf>
    <xf numFmtId="41" fontId="2" fillId="25" borderId="53" xfId="33" applyFont="1" applyFill="1" applyBorder="1">
      <alignment vertical="center"/>
    </xf>
    <xf numFmtId="41" fontId="6" fillId="0" borderId="40" xfId="33" applyFont="1" applyBorder="1" applyAlignment="1">
      <alignment horizontal="center" vertical="center"/>
    </xf>
    <xf numFmtId="41" fontId="6" fillId="0" borderId="56" xfId="33" applyFont="1" applyBorder="1" applyAlignment="1">
      <alignment horizontal="center" vertical="center"/>
    </xf>
    <xf numFmtId="41" fontId="6" fillId="0" borderId="103" xfId="33" applyFont="1" applyBorder="1" applyAlignment="1">
      <alignment horizontal="center" vertical="center"/>
    </xf>
    <xf numFmtId="41" fontId="6" fillId="0" borderId="104" xfId="33" applyFont="1" applyBorder="1" applyAlignment="1">
      <alignment horizontal="center" vertical="center"/>
    </xf>
    <xf numFmtId="41" fontId="2" fillId="32" borderId="54" xfId="33" applyFont="1" applyFill="1" applyBorder="1">
      <alignment vertical="center"/>
    </xf>
    <xf numFmtId="41" fontId="2" fillId="32" borderId="54" xfId="0" applyNumberFormat="1" applyFont="1" applyFill="1" applyBorder="1">
      <alignment vertical="center"/>
    </xf>
    <xf numFmtId="41" fontId="49" fillId="0" borderId="0" xfId="33" applyFont="1">
      <alignment vertical="center"/>
    </xf>
    <xf numFmtId="41" fontId="49" fillId="27" borderId="86" xfId="33" applyFont="1" applyFill="1" applyBorder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41" fontId="34" fillId="0" borderId="97" xfId="33" applyFont="1" applyBorder="1" applyAlignment="1">
      <alignment horizontal="right" vertical="center"/>
    </xf>
    <xf numFmtId="41" fontId="6" fillId="25" borderId="108" xfId="33" applyFont="1" applyFill="1" applyBorder="1" applyAlignment="1">
      <alignment horizontal="center" vertical="center"/>
    </xf>
    <xf numFmtId="41" fontId="6" fillId="26" borderId="105" xfId="33" applyFont="1" applyFill="1" applyBorder="1" applyAlignment="1">
      <alignment horizontal="center" vertical="center"/>
    </xf>
    <xf numFmtId="176" fontId="49" fillId="0" borderId="68" xfId="29" applyNumberFormat="1" applyFont="1" applyFill="1" applyBorder="1" applyAlignment="1">
      <alignment vertical="center"/>
    </xf>
    <xf numFmtId="176" fontId="33" fillId="27" borderId="109" xfId="29" applyNumberFormat="1" applyFont="1" applyFill="1" applyBorder="1" applyAlignment="1">
      <alignment vertical="center"/>
    </xf>
    <xf numFmtId="176" fontId="33" fillId="0" borderId="52" xfId="29" applyNumberFormat="1" applyFont="1" applyBorder="1" applyAlignment="1">
      <alignment vertical="center"/>
    </xf>
    <xf numFmtId="176" fontId="33" fillId="0" borderId="51" xfId="29" applyNumberFormat="1" applyFont="1" applyFill="1" applyBorder="1" applyAlignment="1">
      <alignment vertical="center"/>
    </xf>
    <xf numFmtId="179" fontId="28" fillId="28" borderId="111" xfId="0" applyNumberFormat="1" applyFont="1" applyFill="1" applyBorder="1" applyAlignment="1">
      <alignment horizontal="center" vertical="center"/>
    </xf>
    <xf numFmtId="179" fontId="28" fillId="28" borderId="111" xfId="0" quotePrefix="1" applyNumberFormat="1" applyFont="1" applyFill="1" applyBorder="1" applyAlignment="1">
      <alignment horizontal="center" vertical="center"/>
    </xf>
    <xf numFmtId="0" fontId="28" fillId="28" borderId="110" xfId="0" applyFont="1" applyFill="1" applyBorder="1" applyAlignment="1">
      <alignment horizontal="center" vertical="center" wrapText="1"/>
    </xf>
    <xf numFmtId="0" fontId="28" fillId="28" borderId="110" xfId="0" quotePrefix="1" applyFont="1" applyFill="1" applyBorder="1" applyAlignment="1">
      <alignment horizontal="center" vertical="center" wrapText="1"/>
    </xf>
    <xf numFmtId="176" fontId="33" fillId="29" borderId="0" xfId="29" applyNumberFormat="1" applyFont="1" applyFill="1" applyBorder="1" applyAlignment="1">
      <alignment vertical="center"/>
    </xf>
    <xf numFmtId="41" fontId="54" fillId="27" borderId="112" xfId="33" applyFont="1" applyFill="1" applyBorder="1" applyAlignment="1">
      <alignment vertical="center"/>
    </xf>
    <xf numFmtId="176" fontId="33" fillId="27" borderId="113" xfId="29" applyNumberFormat="1" applyFont="1" applyFill="1" applyBorder="1" applyAlignment="1">
      <alignment vertical="center"/>
    </xf>
    <xf numFmtId="176" fontId="33" fillId="27" borderId="107" xfId="29" applyNumberFormat="1" applyFont="1" applyFill="1" applyBorder="1" applyAlignment="1">
      <alignment vertical="center"/>
    </xf>
    <xf numFmtId="41" fontId="52" fillId="0" borderId="114" xfId="33" applyFont="1" applyBorder="1">
      <alignment vertical="center"/>
    </xf>
    <xf numFmtId="41" fontId="52" fillId="0" borderId="115" xfId="33" applyFont="1" applyBorder="1">
      <alignment vertical="center"/>
    </xf>
    <xf numFmtId="41" fontId="56" fillId="0" borderId="79" xfId="33" applyFont="1" applyFill="1" applyBorder="1" applyAlignment="1">
      <alignment vertical="center"/>
    </xf>
    <xf numFmtId="41" fontId="54" fillId="0" borderId="68" xfId="33" applyFont="1" applyFill="1" applyBorder="1" applyAlignment="1">
      <alignment vertical="center"/>
    </xf>
    <xf numFmtId="176" fontId="33" fillId="0" borderId="68" xfId="29" applyNumberFormat="1" applyFont="1" applyBorder="1" applyAlignment="1">
      <alignment vertical="center"/>
    </xf>
    <xf numFmtId="41" fontId="34" fillId="0" borderId="96" xfId="33" applyFont="1" applyBorder="1">
      <alignment vertical="center"/>
    </xf>
    <xf numFmtId="41" fontId="34" fillId="0" borderId="78" xfId="33" applyFont="1" applyBorder="1">
      <alignment vertical="center"/>
    </xf>
    <xf numFmtId="41" fontId="34" fillId="0" borderId="98" xfId="33" applyFont="1" applyBorder="1">
      <alignment vertical="center"/>
    </xf>
    <xf numFmtId="41" fontId="34" fillId="0" borderId="44" xfId="33" applyFont="1" applyBorder="1">
      <alignment vertical="center"/>
    </xf>
    <xf numFmtId="41" fontId="49" fillId="27" borderId="91" xfId="33" applyFont="1" applyFill="1" applyBorder="1">
      <alignment vertical="center"/>
    </xf>
    <xf numFmtId="41" fontId="52" fillId="0" borderId="94" xfId="33" applyFont="1" applyBorder="1">
      <alignment vertical="center"/>
    </xf>
    <xf numFmtId="41" fontId="52" fillId="0" borderId="84" xfId="33" applyFont="1" applyBorder="1">
      <alignment vertical="center"/>
    </xf>
    <xf numFmtId="41" fontId="51" fillId="0" borderId="106" xfId="0" applyNumberFormat="1" applyFont="1" applyBorder="1">
      <alignment vertical="center"/>
    </xf>
    <xf numFmtId="176" fontId="33" fillId="0" borderId="113" xfId="29" applyNumberFormat="1" applyFont="1" applyFill="1" applyBorder="1" applyAlignment="1">
      <alignment vertical="center"/>
    </xf>
    <xf numFmtId="41" fontId="54" fillId="0" borderId="96" xfId="33" applyFont="1" applyBorder="1">
      <alignment vertical="center"/>
    </xf>
    <xf numFmtId="41" fontId="54" fillId="0" borderId="78" xfId="33" applyFont="1" applyBorder="1">
      <alignment vertical="center"/>
    </xf>
    <xf numFmtId="41" fontId="54" fillId="0" borderId="98" xfId="33" applyFont="1" applyBorder="1">
      <alignment vertical="center"/>
    </xf>
    <xf numFmtId="41" fontId="54" fillId="0" borderId="44" xfId="33" applyFont="1" applyBorder="1">
      <alignment vertical="center"/>
    </xf>
    <xf numFmtId="41" fontId="34" fillId="27" borderId="44" xfId="33" applyFont="1" applyFill="1" applyBorder="1" applyAlignment="1">
      <alignment vertical="center"/>
    </xf>
    <xf numFmtId="41" fontId="27" fillId="0" borderId="38" xfId="0" applyNumberFormat="1" applyFont="1" applyBorder="1">
      <alignment vertical="center"/>
    </xf>
    <xf numFmtId="41" fontId="34" fillId="27" borderId="129" xfId="33" applyFont="1" applyFill="1" applyBorder="1" applyAlignment="1">
      <alignment vertical="center"/>
    </xf>
    <xf numFmtId="176" fontId="49" fillId="0" borderId="0" xfId="29" applyNumberFormat="1" applyFont="1" applyFill="1" applyBorder="1" applyAlignment="1">
      <alignment vertical="center"/>
    </xf>
    <xf numFmtId="0" fontId="38" fillId="0" borderId="38" xfId="46" applyFont="1" applyBorder="1" applyAlignment="1">
      <alignment horizontal="center" vertical="center"/>
    </xf>
    <xf numFmtId="41" fontId="32" fillId="0" borderId="38" xfId="46" applyNumberFormat="1" applyFont="1" applyBorder="1" applyAlignment="1">
      <alignment vertical="center"/>
    </xf>
    <xf numFmtId="0" fontId="36" fillId="0" borderId="38" xfId="0" applyFont="1" applyBorder="1">
      <alignment vertical="center"/>
    </xf>
    <xf numFmtId="176" fontId="33" fillId="27" borderId="87" xfId="29" applyNumberFormat="1" applyFont="1" applyFill="1" applyBorder="1" applyAlignment="1">
      <alignment vertical="center"/>
    </xf>
    <xf numFmtId="176" fontId="33" fillId="0" borderId="118" xfId="29" applyNumberFormat="1" applyFont="1" applyBorder="1" applyAlignment="1">
      <alignment vertical="center"/>
    </xf>
    <xf numFmtId="41" fontId="34" fillId="27" borderId="78" xfId="33" applyFont="1" applyFill="1" applyBorder="1" applyAlignment="1">
      <alignment vertical="center"/>
    </xf>
    <xf numFmtId="0" fontId="27" fillId="0" borderId="79" xfId="0" applyFont="1" applyBorder="1">
      <alignment vertical="center"/>
    </xf>
    <xf numFmtId="176" fontId="33" fillId="29" borderId="90" xfId="29" applyNumberFormat="1" applyFont="1" applyFill="1" applyBorder="1" applyAlignment="1">
      <alignment vertical="center"/>
    </xf>
    <xf numFmtId="176" fontId="33" fillId="0" borderId="101" xfId="29" applyNumberFormat="1" applyFont="1" applyFill="1" applyBorder="1" applyAlignment="1">
      <alignment vertical="center"/>
    </xf>
    <xf numFmtId="176" fontId="33" fillId="32" borderId="93" xfId="29" applyNumberFormat="1" applyFont="1" applyFill="1" applyBorder="1" applyAlignment="1">
      <alignment vertical="center"/>
    </xf>
    <xf numFmtId="176" fontId="33" fillId="0" borderId="107" xfId="29" applyNumberFormat="1" applyFont="1" applyFill="1" applyBorder="1" applyAlignment="1">
      <alignment vertical="center"/>
    </xf>
    <xf numFmtId="41" fontId="49" fillId="0" borderId="68" xfId="33" applyFont="1" applyBorder="1">
      <alignment vertical="center"/>
    </xf>
    <xf numFmtId="0" fontId="32" fillId="0" borderId="68" xfId="46" applyFont="1" applyBorder="1" applyAlignment="1">
      <alignment horizontal="left" vertical="center"/>
    </xf>
    <xf numFmtId="41" fontId="49" fillId="27" borderId="133" xfId="33" applyFont="1" applyFill="1" applyBorder="1">
      <alignment vertical="center"/>
    </xf>
    <xf numFmtId="176" fontId="33" fillId="27" borderId="79" xfId="29" applyNumberFormat="1" applyFont="1" applyFill="1" applyBorder="1" applyAlignment="1">
      <alignment vertical="center"/>
    </xf>
    <xf numFmtId="176" fontId="33" fillId="0" borderId="58" xfId="29" applyNumberFormat="1" applyFont="1" applyFill="1" applyBorder="1" applyAlignment="1">
      <alignment vertical="center"/>
    </xf>
    <xf numFmtId="176" fontId="33" fillId="0" borderId="134" xfId="29" applyNumberFormat="1" applyFont="1" applyFill="1" applyBorder="1" applyAlignment="1">
      <alignment vertical="center"/>
    </xf>
    <xf numFmtId="176" fontId="33" fillId="27" borderId="136" xfId="29" applyNumberFormat="1" applyFont="1" applyFill="1" applyBorder="1" applyAlignment="1">
      <alignment vertical="center"/>
    </xf>
    <xf numFmtId="176" fontId="33" fillId="27" borderId="137" xfId="29" applyNumberFormat="1" applyFont="1" applyFill="1" applyBorder="1" applyAlignment="1">
      <alignment vertical="center"/>
    </xf>
    <xf numFmtId="176" fontId="33" fillId="0" borderId="125" xfId="29" applyNumberFormat="1" applyFont="1" applyBorder="1" applyAlignment="1">
      <alignment vertical="center"/>
    </xf>
    <xf numFmtId="176" fontId="33" fillId="0" borderId="131" xfId="29" applyNumberFormat="1" applyFont="1" applyBorder="1" applyAlignment="1">
      <alignment vertical="center"/>
    </xf>
    <xf numFmtId="177" fontId="3" fillId="24" borderId="74" xfId="33" applyNumberFormat="1" applyFont="1" applyFill="1" applyBorder="1" applyAlignment="1">
      <alignment horizontal="center" vertical="center"/>
    </xf>
    <xf numFmtId="177" fontId="3" fillId="24" borderId="80" xfId="33" applyNumberFormat="1" applyFont="1" applyFill="1" applyBorder="1" applyAlignment="1">
      <alignment horizontal="center" vertical="center"/>
    </xf>
    <xf numFmtId="177" fontId="3" fillId="24" borderId="138" xfId="3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81" fontId="4" fillId="26" borderId="139" xfId="0" applyNumberFormat="1" applyFont="1" applyFill="1" applyBorder="1" applyAlignment="1">
      <alignment horizontal="center" wrapText="1"/>
    </xf>
    <xf numFmtId="182" fontId="3" fillId="0" borderId="140" xfId="0" applyNumberFormat="1" applyFont="1" applyBorder="1" applyAlignment="1">
      <alignment horizontal="center"/>
    </xf>
    <xf numFmtId="183" fontId="3" fillId="35" borderId="139" xfId="0" applyNumberFormat="1" applyFont="1" applyFill="1" applyBorder="1" applyAlignment="1">
      <alignment horizontal="center"/>
    </xf>
    <xf numFmtId="183" fontId="4" fillId="35" borderId="139" xfId="0" applyNumberFormat="1" applyFont="1" applyFill="1" applyBorder="1" applyAlignment="1">
      <alignment horizontal="center" wrapText="1"/>
    </xf>
    <xf numFmtId="179" fontId="4" fillId="35" borderId="143" xfId="0" applyNumberFormat="1" applyFont="1" applyFill="1" applyBorder="1" applyAlignment="1">
      <alignment horizontal="center" vertical="top" wrapText="1"/>
    </xf>
    <xf numFmtId="179" fontId="3" fillId="0" borderId="144" xfId="0" applyNumberFormat="1" applyFont="1" applyBorder="1" applyAlignment="1">
      <alignment horizontal="center" vertical="top" wrapText="1"/>
    </xf>
    <xf numFmtId="179" fontId="3" fillId="35" borderId="143" xfId="0" applyNumberFormat="1" applyFont="1" applyFill="1" applyBorder="1" applyAlignment="1">
      <alignment horizontal="center" vertical="top"/>
    </xf>
    <xf numFmtId="184" fontId="4" fillId="35" borderId="145" xfId="0" applyNumberFormat="1" applyFont="1" applyFill="1" applyBorder="1" applyAlignment="1">
      <alignment horizontal="center" vertical="top"/>
    </xf>
    <xf numFmtId="184" fontId="3" fillId="0" borderId="146" xfId="0" applyNumberFormat="1" applyFont="1" applyBorder="1" applyAlignment="1">
      <alignment horizontal="center" vertical="top"/>
    </xf>
    <xf numFmtId="177" fontId="4" fillId="35" borderId="148" xfId="33" applyNumberFormat="1" applyFont="1" applyFill="1" applyBorder="1" applyAlignment="1">
      <alignment horizontal="center" vertical="center"/>
    </xf>
    <xf numFmtId="177" fontId="3" fillId="0" borderId="149" xfId="33" applyNumberFormat="1" applyFont="1" applyBorder="1" applyAlignment="1">
      <alignment horizontal="center" vertical="center"/>
    </xf>
    <xf numFmtId="176" fontId="3" fillId="0" borderId="66" xfId="29" applyNumberFormat="1" applyFont="1" applyBorder="1" applyAlignment="1">
      <alignment horizontal="center" vertical="center"/>
    </xf>
    <xf numFmtId="177" fontId="3" fillId="35" borderId="148" xfId="33" applyNumberFormat="1" applyFont="1" applyFill="1" applyBorder="1" applyAlignment="1">
      <alignment horizontal="center" vertical="center"/>
    </xf>
    <xf numFmtId="176" fontId="3" fillId="0" borderId="150" xfId="29" applyNumberFormat="1" applyFont="1" applyBorder="1" applyAlignment="1">
      <alignment horizontal="center" vertical="center"/>
    </xf>
    <xf numFmtId="177" fontId="4" fillId="35" borderId="143" xfId="33" applyNumberFormat="1" applyFont="1" applyFill="1" applyBorder="1" applyAlignment="1">
      <alignment horizontal="center" vertical="center"/>
    </xf>
    <xf numFmtId="177" fontId="3" fillId="0" borderId="144" xfId="33" applyNumberFormat="1" applyFont="1" applyBorder="1" applyAlignment="1">
      <alignment horizontal="center" vertical="center"/>
    </xf>
    <xf numFmtId="176" fontId="3" fillId="0" borderId="105" xfId="29" applyNumberFormat="1" applyFont="1" applyBorder="1" applyAlignment="1">
      <alignment horizontal="center" vertical="center"/>
    </xf>
    <xf numFmtId="177" fontId="3" fillId="35" borderId="106" xfId="33" applyNumberFormat="1" applyFont="1" applyFill="1" applyBorder="1" applyAlignment="1">
      <alignment horizontal="center" vertical="center"/>
    </xf>
    <xf numFmtId="176" fontId="3" fillId="0" borderId="107" xfId="29" applyNumberFormat="1" applyFont="1" applyBorder="1" applyAlignment="1">
      <alignment horizontal="center" vertical="center"/>
    </xf>
    <xf numFmtId="177" fontId="4" fillId="26" borderId="143" xfId="33" applyNumberFormat="1" applyFont="1" applyFill="1" applyBorder="1" applyAlignment="1">
      <alignment horizontal="center" vertical="center"/>
    </xf>
    <xf numFmtId="176" fontId="3" fillId="0" borderId="64" xfId="29" applyNumberFormat="1" applyFont="1" applyBorder="1" applyAlignment="1">
      <alignment horizontal="center" vertical="center"/>
    </xf>
    <xf numFmtId="177" fontId="3" fillId="26" borderId="143" xfId="33" applyNumberFormat="1" applyFont="1" applyFill="1" applyBorder="1" applyAlignment="1">
      <alignment horizontal="center" vertical="center"/>
    </xf>
    <xf numFmtId="176" fontId="3" fillId="0" borderId="152" xfId="29" applyNumberFormat="1" applyFont="1" applyBorder="1" applyAlignment="1">
      <alignment horizontal="center" vertical="center"/>
    </xf>
    <xf numFmtId="177" fontId="4" fillId="32" borderId="0" xfId="33" applyNumberFormat="1" applyFont="1" applyFill="1" applyAlignment="1">
      <alignment horizontal="center" vertical="center"/>
    </xf>
    <xf numFmtId="177" fontId="3" fillId="32" borderId="0" xfId="33" applyNumberFormat="1" applyFont="1" applyFill="1" applyAlignment="1">
      <alignment horizontal="center" vertical="center"/>
    </xf>
    <xf numFmtId="176" fontId="3" fillId="32" borderId="0" xfId="29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59" fillId="0" borderId="0" xfId="0" applyFont="1">
      <alignment vertical="center"/>
    </xf>
    <xf numFmtId="41" fontId="3" fillId="0" borderId="0" xfId="0" applyNumberFormat="1" applyFont="1">
      <alignment vertical="center"/>
    </xf>
    <xf numFmtId="41" fontId="34" fillId="27" borderId="154" xfId="33" applyFont="1" applyFill="1" applyBorder="1" applyAlignment="1">
      <alignment vertical="center"/>
    </xf>
    <xf numFmtId="41" fontId="51" fillId="0" borderId="132" xfId="0" applyNumberFormat="1" applyFont="1" applyBorder="1">
      <alignment vertical="center"/>
    </xf>
    <xf numFmtId="41" fontId="56" fillId="0" borderId="126" xfId="33" applyFont="1" applyFill="1" applyBorder="1" applyAlignment="1">
      <alignment vertical="center"/>
    </xf>
    <xf numFmtId="0" fontId="31" fillId="30" borderId="52" xfId="46" applyFont="1" applyFill="1" applyBorder="1" applyAlignment="1">
      <alignment horizontal="center" vertical="center" wrapText="1"/>
    </xf>
    <xf numFmtId="41" fontId="52" fillId="0" borderId="155" xfId="33" applyFont="1" applyBorder="1">
      <alignment vertical="center"/>
    </xf>
    <xf numFmtId="41" fontId="49" fillId="27" borderId="156" xfId="33" applyFont="1" applyFill="1" applyBorder="1">
      <alignment vertical="center"/>
    </xf>
    <xf numFmtId="41" fontId="52" fillId="0" borderId="135" xfId="33" applyFont="1" applyBorder="1">
      <alignment vertical="center"/>
    </xf>
    <xf numFmtId="41" fontId="51" fillId="0" borderId="73" xfId="0" applyNumberFormat="1" applyFont="1" applyBorder="1">
      <alignment vertical="center"/>
    </xf>
    <xf numFmtId="41" fontId="49" fillId="27" borderId="78" xfId="33" applyFont="1" applyFill="1" applyBorder="1">
      <alignment vertical="center"/>
    </xf>
    <xf numFmtId="41" fontId="34" fillId="27" borderId="99" xfId="33" applyFont="1" applyFill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7" fontId="3" fillId="24" borderId="73" xfId="33" applyNumberFormat="1" applyFont="1" applyFill="1" applyBorder="1" applyAlignment="1">
      <alignment horizontal="center" vertical="center"/>
    </xf>
    <xf numFmtId="41" fontId="52" fillId="0" borderId="157" xfId="33" applyFont="1" applyBorder="1">
      <alignment vertical="center"/>
    </xf>
    <xf numFmtId="176" fontId="33" fillId="0" borderId="158" xfId="29" applyNumberFormat="1" applyFont="1" applyFill="1" applyBorder="1" applyAlignment="1">
      <alignment vertical="center"/>
    </xf>
    <xf numFmtId="176" fontId="33" fillId="0" borderId="119" xfId="29" applyNumberFormat="1" applyFont="1" applyBorder="1" applyAlignment="1">
      <alignment vertical="center"/>
    </xf>
    <xf numFmtId="41" fontId="6" fillId="0" borderId="62" xfId="33" applyFont="1" applyBorder="1" applyAlignment="1">
      <alignment horizontal="center" vertical="center"/>
    </xf>
    <xf numFmtId="41" fontId="6" fillId="0" borderId="63" xfId="33" applyFont="1" applyBorder="1" applyAlignment="1">
      <alignment horizontal="center" vertical="center"/>
    </xf>
    <xf numFmtId="0" fontId="32" fillId="0" borderId="87" xfId="0" applyFont="1" applyBorder="1" applyAlignment="1">
      <alignment horizontal="center" vertical="center"/>
    </xf>
    <xf numFmtId="41" fontId="54" fillId="0" borderId="159" xfId="33" applyFont="1" applyBorder="1">
      <alignment vertical="center"/>
    </xf>
    <xf numFmtId="176" fontId="33" fillId="0" borderId="100" xfId="29" applyNumberFormat="1" applyFont="1" applyFill="1" applyBorder="1" applyAlignment="1">
      <alignment vertical="center"/>
    </xf>
    <xf numFmtId="176" fontId="33" fillId="0" borderId="101" xfId="29" applyNumberFormat="1" applyFont="1" applyBorder="1" applyAlignment="1">
      <alignment vertical="center"/>
    </xf>
    <xf numFmtId="41" fontId="34" fillId="0" borderId="153" xfId="33" applyFont="1" applyBorder="1">
      <alignment vertical="center"/>
    </xf>
    <xf numFmtId="41" fontId="34" fillId="0" borderId="159" xfId="33" applyFont="1" applyBorder="1">
      <alignment vertical="center"/>
    </xf>
    <xf numFmtId="41" fontId="34" fillId="27" borderId="73" xfId="33" applyFont="1" applyFill="1" applyBorder="1" applyAlignment="1">
      <alignment vertical="center"/>
    </xf>
    <xf numFmtId="0" fontId="47" fillId="33" borderId="88" xfId="0" quotePrefix="1" applyFont="1" applyFill="1" applyBorder="1" applyAlignment="1">
      <alignment horizontal="center" vertical="center" wrapText="1"/>
    </xf>
    <xf numFmtId="179" fontId="47" fillId="33" borderId="44" xfId="0" quotePrefix="1" applyNumberFormat="1" applyFont="1" applyFill="1" applyBorder="1" applyAlignment="1">
      <alignment horizontal="center" vertical="center"/>
    </xf>
    <xf numFmtId="0" fontId="47" fillId="33" borderId="79" xfId="0" applyFont="1" applyFill="1" applyBorder="1" applyAlignment="1">
      <alignment horizontal="center" vertical="center" wrapText="1"/>
    </xf>
    <xf numFmtId="0" fontId="47" fillId="33" borderId="110" xfId="0" quotePrefix="1" applyFont="1" applyFill="1" applyBorder="1" applyAlignment="1">
      <alignment horizontal="center" vertical="center" wrapText="1"/>
    </xf>
    <xf numFmtId="179" fontId="47" fillId="33" borderId="36" xfId="0" applyNumberFormat="1" applyFont="1" applyFill="1" applyBorder="1" applyAlignment="1">
      <alignment horizontal="center" vertical="center"/>
    </xf>
    <xf numFmtId="179" fontId="47" fillId="33" borderId="111" xfId="0" quotePrefix="1" applyNumberFormat="1" applyFont="1" applyFill="1" applyBorder="1" applyAlignment="1">
      <alignment horizontal="center" vertical="center"/>
    </xf>
    <xf numFmtId="41" fontId="52" fillId="0" borderId="160" xfId="33" applyFont="1" applyBorder="1">
      <alignment vertical="center"/>
    </xf>
    <xf numFmtId="41" fontId="34" fillId="0" borderId="161" xfId="33" applyFont="1" applyBorder="1">
      <alignment vertical="center"/>
    </xf>
    <xf numFmtId="41" fontId="52" fillId="0" borderId="162" xfId="33" applyFont="1" applyBorder="1">
      <alignment vertical="center"/>
    </xf>
    <xf numFmtId="41" fontId="51" fillId="0" borderId="99" xfId="0" applyNumberFormat="1" applyFont="1" applyBorder="1">
      <alignment vertical="center"/>
    </xf>
    <xf numFmtId="41" fontId="34" fillId="0" borderId="96" xfId="33" applyFont="1" applyBorder="1" applyAlignment="1">
      <alignment vertical="center"/>
    </xf>
    <xf numFmtId="41" fontId="34" fillId="0" borderId="83" xfId="33" applyFont="1" applyBorder="1">
      <alignment vertical="center"/>
    </xf>
    <xf numFmtId="41" fontId="34" fillId="0" borderId="83" xfId="33" applyFont="1" applyBorder="1" applyAlignment="1">
      <alignment vertical="center"/>
    </xf>
    <xf numFmtId="41" fontId="34" fillId="0" borderId="84" xfId="33" applyFont="1" applyBorder="1" applyAlignment="1">
      <alignment horizontal="right" vertical="center"/>
    </xf>
    <xf numFmtId="41" fontId="34" fillId="0" borderId="86" xfId="33" applyFont="1" applyBorder="1">
      <alignment vertical="center"/>
    </xf>
    <xf numFmtId="41" fontId="34" fillId="0" borderId="154" xfId="33" applyFont="1" applyBorder="1">
      <alignment vertical="center"/>
    </xf>
    <xf numFmtId="41" fontId="34" fillId="0" borderId="162" xfId="33" applyFont="1" applyBorder="1">
      <alignment vertical="center"/>
    </xf>
    <xf numFmtId="178" fontId="6" fillId="0" borderId="26" xfId="0" applyNumberFormat="1" applyFont="1" applyBorder="1" applyAlignment="1">
      <alignment horizontal="left" vertical="center"/>
    </xf>
    <xf numFmtId="178" fontId="6" fillId="0" borderId="163" xfId="0" applyNumberFormat="1" applyFont="1" applyBorder="1" applyAlignment="1">
      <alignment horizontal="left" vertical="center"/>
    </xf>
    <xf numFmtId="178" fontId="6" fillId="0" borderId="164" xfId="0" applyNumberFormat="1" applyFont="1" applyBorder="1" applyAlignment="1">
      <alignment horizontal="left" vertical="center"/>
    </xf>
    <xf numFmtId="41" fontId="6" fillId="0" borderId="23" xfId="33" quotePrefix="1" applyFont="1" applyBorder="1" applyAlignment="1">
      <alignment horizontal="center" vertical="center"/>
    </xf>
    <xf numFmtId="0" fontId="32" fillId="0" borderId="82" xfId="0" applyFont="1" applyBorder="1" applyAlignment="1">
      <alignment horizontal="center" vertical="center"/>
    </xf>
    <xf numFmtId="176" fontId="33" fillId="29" borderId="156" xfId="29" applyNumberFormat="1" applyFont="1" applyFill="1" applyBorder="1" applyAlignment="1">
      <alignment vertical="center"/>
    </xf>
    <xf numFmtId="176" fontId="33" fillId="29" borderId="165" xfId="29" applyNumberFormat="1" applyFont="1" applyFill="1" applyBorder="1" applyAlignment="1">
      <alignment vertical="center"/>
    </xf>
    <xf numFmtId="176" fontId="33" fillId="29" borderId="103" xfId="29" applyNumberFormat="1" applyFont="1" applyFill="1" applyBorder="1" applyAlignment="1">
      <alignment vertical="center"/>
    </xf>
    <xf numFmtId="41" fontId="54" fillId="0" borderId="115" xfId="33" applyFont="1" applyBorder="1">
      <alignment vertical="center"/>
    </xf>
    <xf numFmtId="0" fontId="32" fillId="0" borderId="85" xfId="0" applyFont="1" applyBorder="1" applyAlignment="1">
      <alignment horizontal="center" vertical="center"/>
    </xf>
    <xf numFmtId="41" fontId="54" fillId="0" borderId="156" xfId="33" applyFont="1" applyFill="1" applyBorder="1" applyAlignment="1">
      <alignment horizontal="center" vertical="center"/>
    </xf>
    <xf numFmtId="41" fontId="54" fillId="0" borderId="165" xfId="33" applyFont="1" applyFill="1" applyBorder="1" applyAlignment="1">
      <alignment horizontal="center" vertical="center"/>
    </xf>
    <xf numFmtId="41" fontId="54" fillId="0" borderId="165" xfId="33" applyFont="1" applyBorder="1" applyAlignment="1">
      <alignment horizontal="center" vertical="center"/>
    </xf>
    <xf numFmtId="41" fontId="54" fillId="0" borderId="145" xfId="33" applyFont="1" applyBorder="1">
      <alignment vertical="center"/>
    </xf>
    <xf numFmtId="41" fontId="34" fillId="0" borderId="153" xfId="33" quotePrefix="1" applyFont="1" applyBorder="1">
      <alignment vertical="center"/>
    </xf>
    <xf numFmtId="41" fontId="52" fillId="0" borderId="159" xfId="33" applyFont="1" applyBorder="1">
      <alignment vertical="center"/>
    </xf>
    <xf numFmtId="41" fontId="52" fillId="0" borderId="154" xfId="33" applyFont="1" applyBorder="1">
      <alignment vertical="center"/>
    </xf>
    <xf numFmtId="41" fontId="52" fillId="0" borderId="166" xfId="33" applyFont="1" applyBorder="1">
      <alignment vertical="center"/>
    </xf>
    <xf numFmtId="41" fontId="6" fillId="0" borderId="0" xfId="33" applyFont="1">
      <alignment vertical="center"/>
    </xf>
    <xf numFmtId="41" fontId="34" fillId="0" borderId="167" xfId="33" applyFont="1" applyBorder="1">
      <alignment vertical="center"/>
    </xf>
    <xf numFmtId="180" fontId="58" fillId="0" borderId="0" xfId="0" applyNumberFormat="1" applyFont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119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49" fontId="3" fillId="0" borderId="88" xfId="0" applyNumberFormat="1" applyFont="1" applyBorder="1" applyAlignment="1">
      <alignment horizontal="center" vertical="center"/>
    </xf>
    <xf numFmtId="49" fontId="3" fillId="0" borderId="89" xfId="0" applyNumberFormat="1" applyFont="1" applyBorder="1" applyAlignment="1">
      <alignment horizontal="center" vertical="center"/>
    </xf>
    <xf numFmtId="49" fontId="3" fillId="0" borderId="117" xfId="0" applyNumberFormat="1" applyFont="1" applyBorder="1" applyAlignment="1">
      <alignment horizontal="center"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141" xfId="0" applyNumberFormat="1" applyFont="1" applyBorder="1" applyAlignment="1">
      <alignment horizontal="center" vertical="center" wrapText="1"/>
    </xf>
    <xf numFmtId="49" fontId="3" fillId="0" borderId="105" xfId="0" applyNumberFormat="1" applyFont="1" applyBorder="1" applyAlignment="1">
      <alignment horizontal="center" vertical="center" wrapText="1"/>
    </xf>
    <xf numFmtId="49" fontId="3" fillId="0" borderId="14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center" vertical="center" wrapText="1"/>
    </xf>
    <xf numFmtId="0" fontId="3" fillId="0" borderId="147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50" fillId="0" borderId="59" xfId="46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50" fillId="0" borderId="54" xfId="46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quotePrefix="1" applyFont="1">
      <alignment vertical="center"/>
    </xf>
    <xf numFmtId="0" fontId="28" fillId="28" borderId="42" xfId="0" applyFont="1" applyFill="1" applyBorder="1" applyAlignment="1">
      <alignment horizontal="center" vertical="center"/>
    </xf>
    <xf numFmtId="0" fontId="28" fillId="28" borderId="79" xfId="0" applyFont="1" applyFill="1" applyBorder="1" applyAlignment="1">
      <alignment horizontal="center" vertical="center"/>
    </xf>
    <xf numFmtId="0" fontId="28" fillId="28" borderId="43" xfId="0" applyFont="1" applyFill="1" applyBorder="1" applyAlignment="1">
      <alignment horizontal="center" vertical="center"/>
    </xf>
    <xf numFmtId="0" fontId="28" fillId="28" borderId="36" xfId="0" applyFont="1" applyFill="1" applyBorder="1" applyAlignment="1">
      <alignment horizontal="center" vertical="center"/>
    </xf>
    <xf numFmtId="0" fontId="29" fillId="30" borderId="78" xfId="0" quotePrefix="1" applyFont="1" applyFill="1" applyBorder="1" applyAlignment="1">
      <alignment horizontal="center" vertical="center" wrapText="1"/>
    </xf>
    <xf numFmtId="0" fontId="29" fillId="30" borderId="44" xfId="0" applyFont="1" applyFill="1" applyBorder="1" applyAlignment="1">
      <alignment horizontal="center" vertical="center" wrapText="1"/>
    </xf>
    <xf numFmtId="0" fontId="28" fillId="28" borderId="48" xfId="0" quotePrefix="1" applyFont="1" applyFill="1" applyBorder="1" applyAlignment="1">
      <alignment horizontal="center" vertical="center" wrapText="1"/>
    </xf>
    <xf numFmtId="0" fontId="28" fillId="28" borderId="19" xfId="0" applyFont="1" applyFill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19" xfId="0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/>
    </xf>
    <xf numFmtId="0" fontId="5" fillId="27" borderId="42" xfId="46" applyFont="1" applyFill="1" applyBorder="1" applyAlignment="1">
      <alignment horizontal="center" vertical="center"/>
    </xf>
    <xf numFmtId="0" fontId="5" fillId="27" borderId="79" xfId="46" applyFont="1" applyFill="1" applyBorder="1" applyAlignment="1">
      <alignment horizontal="center" vertical="center"/>
    </xf>
    <xf numFmtId="0" fontId="53" fillId="0" borderId="13" xfId="0" applyFont="1" applyBorder="1" applyAlignment="1">
      <alignment horizontal="center" vertical="center" wrapText="1"/>
    </xf>
    <xf numFmtId="0" fontId="53" fillId="0" borderId="68" xfId="0" applyFont="1" applyBorder="1" applyAlignment="1">
      <alignment horizontal="center" vertical="center" wrapText="1"/>
    </xf>
    <xf numFmtId="0" fontId="50" fillId="0" borderId="51" xfId="46" applyFont="1" applyBorder="1" applyAlignment="1">
      <alignment horizontal="center" vertical="center"/>
    </xf>
    <xf numFmtId="0" fontId="50" fillId="0" borderId="130" xfId="46" applyFont="1" applyBorder="1" applyAlignment="1">
      <alignment horizontal="center" vertical="center"/>
    </xf>
    <xf numFmtId="0" fontId="50" fillId="0" borderId="53" xfId="46" applyFont="1" applyBorder="1" applyAlignment="1">
      <alignment horizontal="center" vertical="center"/>
    </xf>
    <xf numFmtId="0" fontId="50" fillId="0" borderId="57" xfId="46" applyFont="1" applyBorder="1" applyAlignment="1">
      <alignment horizontal="center" vertical="center"/>
    </xf>
    <xf numFmtId="0" fontId="50" fillId="0" borderId="90" xfId="46" applyFont="1" applyBorder="1" applyAlignment="1">
      <alignment horizontal="center" vertical="center"/>
    </xf>
    <xf numFmtId="0" fontId="50" fillId="0" borderId="52" xfId="46" applyFont="1" applyBorder="1" applyAlignment="1">
      <alignment horizontal="center" vertical="center"/>
    </xf>
    <xf numFmtId="0" fontId="47" fillId="30" borderId="48" xfId="46" quotePrefix="1" applyFont="1" applyFill="1" applyBorder="1" applyAlignment="1">
      <alignment horizontal="center" vertical="center" wrapText="1"/>
    </xf>
    <xf numFmtId="0" fontId="47" fillId="30" borderId="36" xfId="46" quotePrefix="1" applyFont="1" applyFill="1" applyBorder="1" applyAlignment="1">
      <alignment horizontal="center" vertical="center"/>
    </xf>
    <xf numFmtId="0" fontId="47" fillId="30" borderId="42" xfId="46" applyFont="1" applyFill="1" applyBorder="1" applyAlignment="1">
      <alignment horizontal="center" vertical="center"/>
    </xf>
    <xf numFmtId="0" fontId="47" fillId="30" borderId="79" xfId="46" applyFont="1" applyFill="1" applyBorder="1" applyAlignment="1">
      <alignment horizontal="center" vertical="center"/>
    </xf>
    <xf numFmtId="0" fontId="47" fillId="30" borderId="38" xfId="46" applyFont="1" applyFill="1" applyBorder="1" applyAlignment="1">
      <alignment horizontal="center" vertical="center"/>
    </xf>
    <xf numFmtId="0" fontId="47" fillId="30" borderId="0" xfId="46" applyFont="1" applyFill="1" applyAlignment="1">
      <alignment horizontal="center" vertical="center"/>
    </xf>
    <xf numFmtId="0" fontId="48" fillId="30" borderId="126" xfId="46" applyFont="1" applyFill="1" applyBorder="1" applyAlignment="1">
      <alignment horizontal="center" vertical="center"/>
    </xf>
    <xf numFmtId="0" fontId="48" fillId="30" borderId="89" xfId="46" applyFont="1" applyFill="1" applyBorder="1" applyAlignment="1">
      <alignment horizontal="center" vertical="center"/>
    </xf>
    <xf numFmtId="0" fontId="47" fillId="30" borderId="88" xfId="46" quotePrefix="1" applyFont="1" applyFill="1" applyBorder="1" applyAlignment="1">
      <alignment horizontal="center" vertical="center" wrapText="1"/>
    </xf>
    <xf numFmtId="0" fontId="47" fillId="30" borderId="44" xfId="46" quotePrefix="1" applyFont="1" applyFill="1" applyBorder="1" applyAlignment="1">
      <alignment horizontal="center" vertical="center" wrapText="1"/>
    </xf>
    <xf numFmtId="0" fontId="50" fillId="0" borderId="60" xfId="46" applyFont="1" applyBorder="1" applyAlignment="1">
      <alignment horizontal="center" vertical="center"/>
    </xf>
    <xf numFmtId="0" fontId="50" fillId="0" borderId="100" xfId="46" applyFont="1" applyBorder="1" applyAlignment="1">
      <alignment horizontal="center" vertical="center"/>
    </xf>
    <xf numFmtId="0" fontId="50" fillId="0" borderId="101" xfId="46" applyFont="1" applyBorder="1" applyAlignment="1">
      <alignment horizontal="center" vertical="center"/>
    </xf>
    <xf numFmtId="0" fontId="50" fillId="0" borderId="125" xfId="46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 wrapText="1"/>
    </xf>
    <xf numFmtId="178" fontId="6" fillId="0" borderId="96" xfId="0" applyNumberFormat="1" applyFont="1" applyBorder="1" applyAlignment="1">
      <alignment horizontal="center" vertical="center" wrapText="1"/>
    </xf>
    <xf numFmtId="178" fontId="6" fillId="0" borderId="117" xfId="0" applyNumberFormat="1" applyFont="1" applyBorder="1" applyAlignment="1">
      <alignment horizontal="center" vertical="center" wrapText="1"/>
    </xf>
    <xf numFmtId="178" fontId="6" fillId="26" borderId="116" xfId="0" applyNumberFormat="1" applyFont="1" applyFill="1" applyBorder="1" applyAlignment="1">
      <alignment horizontal="center" vertical="center"/>
    </xf>
    <xf numFmtId="178" fontId="6" fillId="26" borderId="120" xfId="0" applyNumberFormat="1" applyFont="1" applyFill="1" applyBorder="1" applyAlignment="1">
      <alignment horizontal="center" vertical="center"/>
    </xf>
    <xf numFmtId="178" fontId="6" fillId="0" borderId="116" xfId="0" applyNumberFormat="1" applyFont="1" applyBorder="1" applyAlignment="1">
      <alignment horizontal="center" vertical="center"/>
    </xf>
    <xf numFmtId="178" fontId="6" fillId="0" borderId="120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/>
    </xf>
    <xf numFmtId="178" fontId="6" fillId="0" borderId="83" xfId="0" applyNumberFormat="1" applyFont="1" applyBorder="1" applyAlignment="1">
      <alignment horizontal="center" vertical="center"/>
    </xf>
    <xf numFmtId="178" fontId="6" fillId="0" borderId="10" xfId="0" applyNumberFormat="1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/>
    </xf>
    <xf numFmtId="178" fontId="6" fillId="0" borderId="96" xfId="0" applyNumberFormat="1" applyFont="1" applyBorder="1" applyAlignment="1">
      <alignment horizontal="center" vertical="center"/>
    </xf>
    <xf numFmtId="178" fontId="6" fillId="0" borderId="117" xfId="0" applyNumberFormat="1" applyFont="1" applyBorder="1" applyAlignment="1">
      <alignment horizontal="center" vertical="center"/>
    </xf>
    <xf numFmtId="178" fontId="42" fillId="0" borderId="88" xfId="0" applyNumberFormat="1" applyFont="1" applyBorder="1" applyAlignment="1">
      <alignment horizontal="center" vertical="center" wrapText="1"/>
    </xf>
    <xf numFmtId="178" fontId="42" fillId="0" borderId="96" xfId="0" applyNumberFormat="1" applyFont="1" applyBorder="1" applyAlignment="1">
      <alignment horizontal="center" vertical="center" wrapText="1"/>
    </xf>
    <xf numFmtId="178" fontId="42" fillId="0" borderId="117" xfId="0" applyNumberFormat="1" applyFont="1" applyBorder="1" applyAlignment="1">
      <alignment horizontal="center" vertical="center" wrapText="1"/>
    </xf>
    <xf numFmtId="178" fontId="6" fillId="0" borderId="124" xfId="0" applyNumberFormat="1" applyFont="1" applyBorder="1" applyAlignment="1">
      <alignment horizontal="center" vertical="center" wrapText="1"/>
    </xf>
    <xf numFmtId="178" fontId="6" fillId="0" borderId="83" xfId="0" applyNumberFormat="1" applyFont="1" applyBorder="1" applyAlignment="1">
      <alignment horizontal="center" vertical="center" wrapText="1"/>
    </xf>
    <xf numFmtId="178" fontId="6" fillId="0" borderId="44" xfId="0" applyNumberFormat="1" applyFont="1" applyBorder="1" applyAlignment="1">
      <alignment horizontal="center" vertical="center"/>
    </xf>
    <xf numFmtId="178" fontId="6" fillId="26" borderId="10" xfId="0" applyNumberFormat="1" applyFont="1" applyFill="1" applyBorder="1" applyAlignment="1">
      <alignment horizontal="center" vertical="center"/>
    </xf>
    <xf numFmtId="178" fontId="6" fillId="26" borderId="121" xfId="0" applyNumberFormat="1" applyFont="1" applyFill="1" applyBorder="1" applyAlignment="1">
      <alignment horizontal="center" vertical="center"/>
    </xf>
    <xf numFmtId="178" fontId="6" fillId="0" borderId="122" xfId="0" applyNumberFormat="1" applyFont="1" applyBorder="1" applyAlignment="1">
      <alignment horizontal="center" vertical="center"/>
    </xf>
    <xf numFmtId="178" fontId="6" fillId="0" borderId="123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27" borderId="127" xfId="0" applyFont="1" applyFill="1" applyBorder="1" applyAlignment="1">
      <alignment horizontal="center" vertical="center"/>
    </xf>
    <xf numFmtId="0" fontId="4" fillId="27" borderId="76" xfId="0" applyFont="1" applyFill="1" applyBorder="1" applyAlignment="1">
      <alignment horizontal="center" vertical="center"/>
    </xf>
    <xf numFmtId="0" fontId="4" fillId="31" borderId="127" xfId="0" applyFont="1" applyFill="1" applyBorder="1" applyAlignment="1">
      <alignment horizontal="center" vertical="center"/>
    </xf>
    <xf numFmtId="0" fontId="4" fillId="31" borderId="76" xfId="0" applyFont="1" applyFill="1" applyBorder="1" applyAlignment="1">
      <alignment horizontal="center" vertical="center"/>
    </xf>
    <xf numFmtId="0" fontId="4" fillId="24" borderId="127" xfId="0" applyFont="1" applyFill="1" applyBorder="1" applyAlignment="1">
      <alignment horizontal="center" vertical="center"/>
    </xf>
    <xf numFmtId="0" fontId="4" fillId="24" borderId="76" xfId="0" applyFont="1" applyFill="1" applyBorder="1" applyAlignment="1">
      <alignment horizontal="center" vertical="center"/>
    </xf>
    <xf numFmtId="0" fontId="3" fillId="0" borderId="12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</cellXfs>
  <cellStyles count="47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보통" xfId="30" builtinId="28" customBuiltin="1"/>
    <cellStyle name="설명 텍스트" xfId="31" builtinId="53" customBuiltin="1"/>
    <cellStyle name="셀 확인" xfId="32" builtinId="23" customBuiltin="1"/>
    <cellStyle name="쉼표 [0]" xfId="33" builtinId="6"/>
    <cellStyle name="쉼표 [0] 2" xfId="34" xr:uid="{00000000-0005-0000-0000-000021000000}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표준" xfId="0" builtinId="0"/>
    <cellStyle name="표준 2" xfId="45" xr:uid="{00000000-0005-0000-0000-00002D000000}"/>
    <cellStyle name="표준_2007년 2월 현대실적 - 기아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554770</xdr:colOff>
          <xdr:row>65</xdr:row>
          <xdr:rowOff>26035</xdr:rowOff>
        </xdr:to>
        <xdr:pic>
          <xdr:nvPicPr>
            <xdr:cNvPr id="2" name="그림 4">
              <a:extLst>
                <a:ext uri="{FF2B5EF4-FFF2-40B4-BE49-F238E27FC236}">
                  <a16:creationId xmlns:a16="http://schemas.microsoft.com/office/drawing/2014/main" id="{4A61E6F1-1022-451E-B6F8-A09F46133C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1450" y="8791575"/>
              <a:ext cx="5455065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9719</xdr:colOff>
          <xdr:row>23</xdr:row>
          <xdr:rowOff>171138</xdr:rowOff>
        </xdr:from>
        <xdr:to>
          <xdr:col>9</xdr:col>
          <xdr:colOff>590109</xdr:colOff>
          <xdr:row>38</xdr:row>
          <xdr:rowOff>94666</xdr:rowOff>
        </xdr:to>
        <xdr:pic>
          <xdr:nvPicPr>
            <xdr:cNvPr id="5" name="그림 4">
              <a:extLst>
                <a:ext uri="{FF2B5EF4-FFF2-40B4-BE49-F238E27FC236}">
                  <a16:creationId xmlns:a16="http://schemas.microsoft.com/office/drawing/2014/main" id="{D0C37AD1-DE91-4E53-97DB-534459DBC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330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84668" y="5604276"/>
              <a:ext cx="5447704" cy="284105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019" name="그림 4">
              <a:extLst>
                <a:ext uri="{FF2B5EF4-FFF2-40B4-BE49-F238E27FC236}">
                  <a16:creationId xmlns:a16="http://schemas.microsoft.com/office/drawing/2014/main" id="{D3A2E71B-CAB3-B769-7EB4-535EFEF279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07" name="그림 4">
              <a:extLst>
                <a:ext uri="{FF2B5EF4-FFF2-40B4-BE49-F238E27FC236}">
                  <a16:creationId xmlns:a16="http://schemas.microsoft.com/office/drawing/2014/main" id="{93FF4773-F8B3-97BC-F86F-ED3772890D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10" name="Picture 2794">
              <a:extLst>
                <a:ext uri="{FF2B5EF4-FFF2-40B4-BE49-F238E27FC236}">
                  <a16:creationId xmlns:a16="http://schemas.microsoft.com/office/drawing/2014/main" id="{A88FF78D-8772-8ACC-297E-56F6A1E97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07" name="그림 4">
              <a:extLst>
                <a:ext uri="{FF2B5EF4-FFF2-40B4-BE49-F238E27FC236}">
                  <a16:creationId xmlns:a16="http://schemas.microsoft.com/office/drawing/2014/main" id="{5F2930C4-97C4-CC64-A385-511AE21EDF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0" name="Picture 3622">
              <a:extLst>
                <a:ext uri="{FF2B5EF4-FFF2-40B4-BE49-F238E27FC236}">
                  <a16:creationId xmlns:a16="http://schemas.microsoft.com/office/drawing/2014/main" id="{E31F9128-4D18-D97C-4751-3012AE4A34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3" name="Picture 3625">
              <a:extLst>
                <a:ext uri="{FF2B5EF4-FFF2-40B4-BE49-F238E27FC236}">
                  <a16:creationId xmlns:a16="http://schemas.microsoft.com/office/drawing/2014/main" id="{4DF41E92-B23E-10DA-8B09-B44A357136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6" name="Picture 2794">
              <a:extLst>
                <a:ext uri="{FF2B5EF4-FFF2-40B4-BE49-F238E27FC236}">
                  <a16:creationId xmlns:a16="http://schemas.microsoft.com/office/drawing/2014/main" id="{A15B3936-056E-D382-7C5E-FF9CA9E78F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9" name="Picture 3631">
              <a:extLst>
                <a:ext uri="{FF2B5EF4-FFF2-40B4-BE49-F238E27FC236}">
                  <a16:creationId xmlns:a16="http://schemas.microsoft.com/office/drawing/2014/main" id="{04034FA8-C8BF-F365-97D3-7F406F5C5C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2" name="Picture 3634">
              <a:extLst>
                <a:ext uri="{FF2B5EF4-FFF2-40B4-BE49-F238E27FC236}">
                  <a16:creationId xmlns:a16="http://schemas.microsoft.com/office/drawing/2014/main" id="{9162B558-B2B9-693A-95FC-9D4D23E9FF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5" name="Picture 3637">
              <a:extLst>
                <a:ext uri="{FF2B5EF4-FFF2-40B4-BE49-F238E27FC236}">
                  <a16:creationId xmlns:a16="http://schemas.microsoft.com/office/drawing/2014/main" id="{6D3665CB-009C-89B6-D6FD-26583C204C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8" name="Picture 3640">
              <a:extLst>
                <a:ext uri="{FF2B5EF4-FFF2-40B4-BE49-F238E27FC236}">
                  <a16:creationId xmlns:a16="http://schemas.microsoft.com/office/drawing/2014/main" id="{04CB6B4F-9AAF-042D-A611-4762328B69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1" name="Picture 3643">
              <a:extLst>
                <a:ext uri="{FF2B5EF4-FFF2-40B4-BE49-F238E27FC236}">
                  <a16:creationId xmlns:a16="http://schemas.microsoft.com/office/drawing/2014/main" id="{D196216B-8372-92A6-302B-990F11C1175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4" name="Picture 3646">
              <a:extLst>
                <a:ext uri="{FF2B5EF4-FFF2-40B4-BE49-F238E27FC236}">
                  <a16:creationId xmlns:a16="http://schemas.microsoft.com/office/drawing/2014/main" id="{52A12D12-B910-2279-AE45-2CBC7E1076F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7" name="Picture 3649">
              <a:extLst>
                <a:ext uri="{FF2B5EF4-FFF2-40B4-BE49-F238E27FC236}">
                  <a16:creationId xmlns:a16="http://schemas.microsoft.com/office/drawing/2014/main" id="{F5EB2493-C084-FEE6-C1C8-5D43D5274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40" name="Picture 3652">
              <a:extLst>
                <a:ext uri="{FF2B5EF4-FFF2-40B4-BE49-F238E27FC236}">
                  <a16:creationId xmlns:a16="http://schemas.microsoft.com/office/drawing/2014/main" id="{6675A02F-44AF-B5F6-DE3D-D5E07D13C2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1" name="그림 4">
              <a:extLst>
                <a:ext uri="{FF2B5EF4-FFF2-40B4-BE49-F238E27FC236}">
                  <a16:creationId xmlns:a16="http://schemas.microsoft.com/office/drawing/2014/main" id="{B810ADF4-35A1-D387-1930-C3D26E33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4" name="Picture 3766">
              <a:extLst>
                <a:ext uri="{FF2B5EF4-FFF2-40B4-BE49-F238E27FC236}">
                  <a16:creationId xmlns:a16="http://schemas.microsoft.com/office/drawing/2014/main" id="{DA5BF914-F87E-6317-B841-9D50316470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7" name="Picture 3769">
              <a:extLst>
                <a:ext uri="{FF2B5EF4-FFF2-40B4-BE49-F238E27FC236}">
                  <a16:creationId xmlns:a16="http://schemas.microsoft.com/office/drawing/2014/main" id="{F98BAA5A-B0C0-47A8-027D-E004EC5B40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0" name="Picture 2794">
              <a:extLst>
                <a:ext uri="{FF2B5EF4-FFF2-40B4-BE49-F238E27FC236}">
                  <a16:creationId xmlns:a16="http://schemas.microsoft.com/office/drawing/2014/main" id="{3C00DDC2-7B12-3A41-2C0C-9DBBED9311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3" name="Picture 3775">
              <a:extLst>
                <a:ext uri="{FF2B5EF4-FFF2-40B4-BE49-F238E27FC236}">
                  <a16:creationId xmlns:a16="http://schemas.microsoft.com/office/drawing/2014/main" id="{3D0AD22C-BA72-C04A-D1E7-D4E341359F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6" name="Picture 3622">
              <a:extLst>
                <a:ext uri="{FF2B5EF4-FFF2-40B4-BE49-F238E27FC236}">
                  <a16:creationId xmlns:a16="http://schemas.microsoft.com/office/drawing/2014/main" id="{D2118A61-57F4-5F8D-4E8C-B62984F954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9" name="Picture 3625">
              <a:extLst>
                <a:ext uri="{FF2B5EF4-FFF2-40B4-BE49-F238E27FC236}">
                  <a16:creationId xmlns:a16="http://schemas.microsoft.com/office/drawing/2014/main" id="{A9D08A12-9E4A-09CA-21F5-CD42D7CAC1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2" name="Picture 3784">
              <a:extLst>
                <a:ext uri="{FF2B5EF4-FFF2-40B4-BE49-F238E27FC236}">
                  <a16:creationId xmlns:a16="http://schemas.microsoft.com/office/drawing/2014/main" id="{B38C9038-4D37-5EDE-9B6F-6190DB4F6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5" name="Picture 3631">
              <a:extLst>
                <a:ext uri="{FF2B5EF4-FFF2-40B4-BE49-F238E27FC236}">
                  <a16:creationId xmlns:a16="http://schemas.microsoft.com/office/drawing/2014/main" id="{A903CA23-B474-02DE-F4CE-FAE1A1C3BD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7" name="Picture 3634">
              <a:extLst>
                <a:ext uri="{FF2B5EF4-FFF2-40B4-BE49-F238E27FC236}">
                  <a16:creationId xmlns:a16="http://schemas.microsoft.com/office/drawing/2014/main" id="{8824EFD0-2F79-84BA-FBFF-9134DE2637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9" name="Picture 3637">
              <a:extLst>
                <a:ext uri="{FF2B5EF4-FFF2-40B4-BE49-F238E27FC236}">
                  <a16:creationId xmlns:a16="http://schemas.microsoft.com/office/drawing/2014/main" id="{5A125D47-2775-7437-0631-D2A69A50431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1" name="Picture 3640">
              <a:extLst>
                <a:ext uri="{FF2B5EF4-FFF2-40B4-BE49-F238E27FC236}">
                  <a16:creationId xmlns:a16="http://schemas.microsoft.com/office/drawing/2014/main" id="{9065324D-426B-208E-84B1-A681715F68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3" name="Picture 3643">
              <a:extLst>
                <a:ext uri="{FF2B5EF4-FFF2-40B4-BE49-F238E27FC236}">
                  <a16:creationId xmlns:a16="http://schemas.microsoft.com/office/drawing/2014/main" id="{8BDDDE47-D08F-3268-C944-1E12FC08DD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5" name="Picture 3646">
              <a:extLst>
                <a:ext uri="{FF2B5EF4-FFF2-40B4-BE49-F238E27FC236}">
                  <a16:creationId xmlns:a16="http://schemas.microsoft.com/office/drawing/2014/main" id="{44103D47-1A8B-8877-4B02-6CE09775BC7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7" name="Picture 3649">
              <a:extLst>
                <a:ext uri="{FF2B5EF4-FFF2-40B4-BE49-F238E27FC236}">
                  <a16:creationId xmlns:a16="http://schemas.microsoft.com/office/drawing/2014/main" id="{120A2B2B-0856-74E1-2EC2-C558429A82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9" name="Picture 3652">
              <a:extLst>
                <a:ext uri="{FF2B5EF4-FFF2-40B4-BE49-F238E27FC236}">
                  <a16:creationId xmlns:a16="http://schemas.microsoft.com/office/drawing/2014/main" id="{E6B1000E-790B-FAA4-B41D-620AE723C29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2" name="그림 4">
              <a:extLst>
                <a:ext uri="{FF2B5EF4-FFF2-40B4-BE49-F238E27FC236}">
                  <a16:creationId xmlns:a16="http://schemas.microsoft.com/office/drawing/2014/main" id="{3515BEF0-879E-2FB1-E5FF-A9C0B42B330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5" name="Picture 8791">
              <a:extLst>
                <a:ext uri="{FF2B5EF4-FFF2-40B4-BE49-F238E27FC236}">
                  <a16:creationId xmlns:a16="http://schemas.microsoft.com/office/drawing/2014/main" id="{C91375A8-E746-9BA3-41A8-E87B608DF0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6" name="Picture 8792">
              <a:extLst>
                <a:ext uri="{FF2B5EF4-FFF2-40B4-BE49-F238E27FC236}">
                  <a16:creationId xmlns:a16="http://schemas.microsoft.com/office/drawing/2014/main" id="{147B00CB-4544-A512-A617-1FE7CEB69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7" name="Picture 2794">
              <a:extLst>
                <a:ext uri="{FF2B5EF4-FFF2-40B4-BE49-F238E27FC236}">
                  <a16:creationId xmlns:a16="http://schemas.microsoft.com/office/drawing/2014/main" id="{CB8734CF-8F86-4807-B127-C9287849EE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8" name="Picture 8794">
              <a:extLst>
                <a:ext uri="{FF2B5EF4-FFF2-40B4-BE49-F238E27FC236}">
                  <a16:creationId xmlns:a16="http://schemas.microsoft.com/office/drawing/2014/main" id="{748FE029-0FF4-DF5A-9261-1D140C54A2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9" name="Picture 3622">
              <a:extLst>
                <a:ext uri="{FF2B5EF4-FFF2-40B4-BE49-F238E27FC236}">
                  <a16:creationId xmlns:a16="http://schemas.microsoft.com/office/drawing/2014/main" id="{D8FD7004-BE8E-A444-D712-E2354387E19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0" name="Picture 3625">
              <a:extLst>
                <a:ext uri="{FF2B5EF4-FFF2-40B4-BE49-F238E27FC236}">
                  <a16:creationId xmlns:a16="http://schemas.microsoft.com/office/drawing/2014/main" id="{B17212BE-1B13-4D30-60C8-B24F2D705C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1" name="Picture 8797">
              <a:extLst>
                <a:ext uri="{FF2B5EF4-FFF2-40B4-BE49-F238E27FC236}">
                  <a16:creationId xmlns:a16="http://schemas.microsoft.com/office/drawing/2014/main" id="{593759B3-9898-9723-89F7-F0A9362A1E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2" name="Picture 3631">
              <a:extLst>
                <a:ext uri="{FF2B5EF4-FFF2-40B4-BE49-F238E27FC236}">
                  <a16:creationId xmlns:a16="http://schemas.microsoft.com/office/drawing/2014/main" id="{E6D2F93D-EFC5-9A9F-3247-A8E5B7BF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3" name="Picture 3634">
              <a:extLst>
                <a:ext uri="{FF2B5EF4-FFF2-40B4-BE49-F238E27FC236}">
                  <a16:creationId xmlns:a16="http://schemas.microsoft.com/office/drawing/2014/main" id="{41F1C3B2-FC9F-570D-3E11-0F5793C4E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4" name="Picture 3637">
              <a:extLst>
                <a:ext uri="{FF2B5EF4-FFF2-40B4-BE49-F238E27FC236}">
                  <a16:creationId xmlns:a16="http://schemas.microsoft.com/office/drawing/2014/main" id="{F570A28D-DA15-F70D-7C4F-C7F2D059E0E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5" name="Picture 3640">
              <a:extLst>
                <a:ext uri="{FF2B5EF4-FFF2-40B4-BE49-F238E27FC236}">
                  <a16:creationId xmlns:a16="http://schemas.microsoft.com/office/drawing/2014/main" id="{8FD7E753-344F-3B68-873E-0BCF237987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6" name="Picture 3643">
              <a:extLst>
                <a:ext uri="{FF2B5EF4-FFF2-40B4-BE49-F238E27FC236}">
                  <a16:creationId xmlns:a16="http://schemas.microsoft.com/office/drawing/2014/main" id="{C0AE9844-30B2-EF71-1DB0-DDC76B7709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7" name="Picture 3646">
              <a:extLst>
                <a:ext uri="{FF2B5EF4-FFF2-40B4-BE49-F238E27FC236}">
                  <a16:creationId xmlns:a16="http://schemas.microsoft.com/office/drawing/2014/main" id="{468BB5E6-6B67-CDC2-8A01-82E17E710D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8" name="Picture 3649">
              <a:extLst>
                <a:ext uri="{FF2B5EF4-FFF2-40B4-BE49-F238E27FC236}">
                  <a16:creationId xmlns:a16="http://schemas.microsoft.com/office/drawing/2014/main" id="{B70991E1-28F4-5832-6123-C4B03128F14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9" name="Picture 3652">
              <a:extLst>
                <a:ext uri="{FF2B5EF4-FFF2-40B4-BE49-F238E27FC236}">
                  <a16:creationId xmlns:a16="http://schemas.microsoft.com/office/drawing/2014/main" id="{4C558D19-424A-9B2C-A392-66656BAE5B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0" name="Picture 8806">
              <a:extLst>
                <a:ext uri="{FF2B5EF4-FFF2-40B4-BE49-F238E27FC236}">
                  <a16:creationId xmlns:a16="http://schemas.microsoft.com/office/drawing/2014/main" id="{9C4B5964-0566-3B5C-944C-677596F727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2" name="Picture 3766">
              <a:extLst>
                <a:ext uri="{FF2B5EF4-FFF2-40B4-BE49-F238E27FC236}">
                  <a16:creationId xmlns:a16="http://schemas.microsoft.com/office/drawing/2014/main" id="{C38A2287-3A18-2F69-B53E-9564ED0000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3" name="Picture 3769">
              <a:extLst>
                <a:ext uri="{FF2B5EF4-FFF2-40B4-BE49-F238E27FC236}">
                  <a16:creationId xmlns:a16="http://schemas.microsoft.com/office/drawing/2014/main" id="{182805A8-BFE0-23D1-0B5C-172014639E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4" name="Picture 8810">
              <a:extLst>
                <a:ext uri="{FF2B5EF4-FFF2-40B4-BE49-F238E27FC236}">
                  <a16:creationId xmlns:a16="http://schemas.microsoft.com/office/drawing/2014/main" id="{29497DF3-A2F4-D7CC-A9AC-27A9C7AA5F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5" name="Picture 3775">
              <a:extLst>
                <a:ext uri="{FF2B5EF4-FFF2-40B4-BE49-F238E27FC236}">
                  <a16:creationId xmlns:a16="http://schemas.microsoft.com/office/drawing/2014/main" id="{89AC72DB-DC3B-F4FE-1E28-F3872BFE709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6" name="Picture 8812">
              <a:extLst>
                <a:ext uri="{FF2B5EF4-FFF2-40B4-BE49-F238E27FC236}">
                  <a16:creationId xmlns:a16="http://schemas.microsoft.com/office/drawing/2014/main" id="{3702B4CE-805E-0E5B-2266-4304DDC8AD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7" name="Picture 8813">
              <a:extLst>
                <a:ext uri="{FF2B5EF4-FFF2-40B4-BE49-F238E27FC236}">
                  <a16:creationId xmlns:a16="http://schemas.microsoft.com/office/drawing/2014/main" id="{1D000008-53C6-7A36-C0C6-151DA640216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8" name="Picture 3784">
              <a:extLst>
                <a:ext uri="{FF2B5EF4-FFF2-40B4-BE49-F238E27FC236}">
                  <a16:creationId xmlns:a16="http://schemas.microsoft.com/office/drawing/2014/main" id="{6C102ACC-1E6D-78ED-2473-C9CF1CEC47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9" name="Picture 8815">
              <a:extLst>
                <a:ext uri="{FF2B5EF4-FFF2-40B4-BE49-F238E27FC236}">
                  <a16:creationId xmlns:a16="http://schemas.microsoft.com/office/drawing/2014/main" id="{EF5EB370-0244-7CA6-42CE-F92E5D3A65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0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0" name="Picture 8816">
              <a:extLst>
                <a:ext uri="{FF2B5EF4-FFF2-40B4-BE49-F238E27FC236}">
                  <a16:creationId xmlns:a16="http://schemas.microsoft.com/office/drawing/2014/main" id="{14D77391-3EC1-9217-21AA-25E1669812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1" name="Picture 8817">
              <a:extLst>
                <a:ext uri="{FF2B5EF4-FFF2-40B4-BE49-F238E27FC236}">
                  <a16:creationId xmlns:a16="http://schemas.microsoft.com/office/drawing/2014/main" id="{5D41E850-BF8C-115C-FFA5-935A3EFBBF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2" name="Picture 8818">
              <a:extLst>
                <a:ext uri="{FF2B5EF4-FFF2-40B4-BE49-F238E27FC236}">
                  <a16:creationId xmlns:a16="http://schemas.microsoft.com/office/drawing/2014/main" id="{83096C0E-9E9D-DF03-EBF1-19124ED0F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3" name="Picture 8819">
              <a:extLst>
                <a:ext uri="{FF2B5EF4-FFF2-40B4-BE49-F238E27FC236}">
                  <a16:creationId xmlns:a16="http://schemas.microsoft.com/office/drawing/2014/main" id="{75495334-EA0E-74D9-A309-423E05B779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4" name="Picture 8820">
              <a:extLst>
                <a:ext uri="{FF2B5EF4-FFF2-40B4-BE49-F238E27FC236}">
                  <a16:creationId xmlns:a16="http://schemas.microsoft.com/office/drawing/2014/main" id="{1B3F1C44-BDED-2D7B-A9DF-F26CC85C06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5" name="Picture 8821">
              <a:extLst>
                <a:ext uri="{FF2B5EF4-FFF2-40B4-BE49-F238E27FC236}">
                  <a16:creationId xmlns:a16="http://schemas.microsoft.com/office/drawing/2014/main" id="{DB6D2B23-DF32-73C6-2A35-9CB3ED3135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6" name="Picture 8822">
              <a:extLst>
                <a:ext uri="{FF2B5EF4-FFF2-40B4-BE49-F238E27FC236}">
                  <a16:creationId xmlns:a16="http://schemas.microsoft.com/office/drawing/2014/main" id="{07F9071E-D954-EA31-1AF5-0B734D1D44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552450</xdr:colOff>
          <xdr:row>65</xdr:row>
          <xdr:rowOff>27940</xdr:rowOff>
        </xdr:to>
        <xdr:pic>
          <xdr:nvPicPr>
            <xdr:cNvPr id="87175" name="그림 4">
              <a:extLst>
                <a:ext uri="{FF2B5EF4-FFF2-40B4-BE49-F238E27FC236}">
                  <a16:creationId xmlns:a16="http://schemas.microsoft.com/office/drawing/2014/main" id="{94D0734B-4AA9-D4C0-E708-739C73F5CD5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4068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8" name="Picture 18570">
              <a:extLst>
                <a:ext uri="{FF2B5EF4-FFF2-40B4-BE49-F238E27FC236}">
                  <a16:creationId xmlns:a16="http://schemas.microsoft.com/office/drawing/2014/main" id="{C7EB81F1-3B75-9B29-E998-3BDC4FFDC8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9" name="Picture 18571">
              <a:extLst>
                <a:ext uri="{FF2B5EF4-FFF2-40B4-BE49-F238E27FC236}">
                  <a16:creationId xmlns:a16="http://schemas.microsoft.com/office/drawing/2014/main" id="{D5FB0883-CAA4-F662-1069-191A97B8FB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0" name="Picture 2794">
              <a:extLst>
                <a:ext uri="{FF2B5EF4-FFF2-40B4-BE49-F238E27FC236}">
                  <a16:creationId xmlns:a16="http://schemas.microsoft.com/office/drawing/2014/main" id="{693E4B30-78BB-41D0-6741-8F1142C8D5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1" name="Picture 18573">
              <a:extLst>
                <a:ext uri="{FF2B5EF4-FFF2-40B4-BE49-F238E27FC236}">
                  <a16:creationId xmlns:a16="http://schemas.microsoft.com/office/drawing/2014/main" id="{0E1ACE23-727F-327F-FFC3-7673F46012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2" name="Picture 3622">
              <a:extLst>
                <a:ext uri="{FF2B5EF4-FFF2-40B4-BE49-F238E27FC236}">
                  <a16:creationId xmlns:a16="http://schemas.microsoft.com/office/drawing/2014/main" id="{997E565E-C07F-75CC-8558-5401783986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3" name="Picture 3625">
              <a:extLst>
                <a:ext uri="{FF2B5EF4-FFF2-40B4-BE49-F238E27FC236}">
                  <a16:creationId xmlns:a16="http://schemas.microsoft.com/office/drawing/2014/main" id="{04551950-140F-FFB1-B8F7-E474B0082C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4" name="Picture 18576">
              <a:extLst>
                <a:ext uri="{FF2B5EF4-FFF2-40B4-BE49-F238E27FC236}">
                  <a16:creationId xmlns:a16="http://schemas.microsoft.com/office/drawing/2014/main" id="{C64C9563-3F6A-86C0-6666-6A85ACA3ADC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5" name="Picture 3631">
              <a:extLst>
                <a:ext uri="{FF2B5EF4-FFF2-40B4-BE49-F238E27FC236}">
                  <a16:creationId xmlns:a16="http://schemas.microsoft.com/office/drawing/2014/main" id="{5AABA7CA-DB86-EB52-7C44-67FEAEB56A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6" name="Picture 3634">
              <a:extLst>
                <a:ext uri="{FF2B5EF4-FFF2-40B4-BE49-F238E27FC236}">
                  <a16:creationId xmlns:a16="http://schemas.microsoft.com/office/drawing/2014/main" id="{243F1FCC-A0B2-E2C1-A113-7DACBDC7A0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7" name="Picture 3637">
              <a:extLst>
                <a:ext uri="{FF2B5EF4-FFF2-40B4-BE49-F238E27FC236}">
                  <a16:creationId xmlns:a16="http://schemas.microsoft.com/office/drawing/2014/main" id="{31032144-3B73-4E5B-FFBC-10DE81241E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8" name="Picture 3640">
              <a:extLst>
                <a:ext uri="{FF2B5EF4-FFF2-40B4-BE49-F238E27FC236}">
                  <a16:creationId xmlns:a16="http://schemas.microsoft.com/office/drawing/2014/main" id="{AF1F6DEF-D4B7-D85E-71DC-84D0B4E8C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9" name="Picture 3643">
              <a:extLst>
                <a:ext uri="{FF2B5EF4-FFF2-40B4-BE49-F238E27FC236}">
                  <a16:creationId xmlns:a16="http://schemas.microsoft.com/office/drawing/2014/main" id="{CE8C32AA-0904-FB66-3D37-1BBD61E0A6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0" name="Picture 3646">
              <a:extLst>
                <a:ext uri="{FF2B5EF4-FFF2-40B4-BE49-F238E27FC236}">
                  <a16:creationId xmlns:a16="http://schemas.microsoft.com/office/drawing/2014/main" id="{979FDF27-289F-6558-6FD5-08535C66E0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1" name="Picture 3649">
              <a:extLst>
                <a:ext uri="{FF2B5EF4-FFF2-40B4-BE49-F238E27FC236}">
                  <a16:creationId xmlns:a16="http://schemas.microsoft.com/office/drawing/2014/main" id="{938BF6C8-30A5-11EB-051F-9A05F536843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2" name="Picture 3652">
              <a:extLst>
                <a:ext uri="{FF2B5EF4-FFF2-40B4-BE49-F238E27FC236}">
                  <a16:creationId xmlns:a16="http://schemas.microsoft.com/office/drawing/2014/main" id="{4C41E6DE-EEF3-B983-61DE-6A9AC70423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3" name="Picture 18585">
              <a:extLst>
                <a:ext uri="{FF2B5EF4-FFF2-40B4-BE49-F238E27FC236}">
                  <a16:creationId xmlns:a16="http://schemas.microsoft.com/office/drawing/2014/main" id="{C04BEE2B-71D6-E4D1-5580-6F8DC9873B0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4" name="Picture 3766">
              <a:extLst>
                <a:ext uri="{FF2B5EF4-FFF2-40B4-BE49-F238E27FC236}">
                  <a16:creationId xmlns:a16="http://schemas.microsoft.com/office/drawing/2014/main" id="{B9584AB3-78D1-F04A-1F1B-F807C44503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5" name="Picture 3769">
              <a:extLst>
                <a:ext uri="{FF2B5EF4-FFF2-40B4-BE49-F238E27FC236}">
                  <a16:creationId xmlns:a16="http://schemas.microsoft.com/office/drawing/2014/main" id="{0BCF3868-1E65-A2A5-F6E7-6AC3E09DBC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6" name="Picture 18588">
              <a:extLst>
                <a:ext uri="{FF2B5EF4-FFF2-40B4-BE49-F238E27FC236}">
                  <a16:creationId xmlns:a16="http://schemas.microsoft.com/office/drawing/2014/main" id="{AF7ABEA5-A557-9882-7368-9AA5E029E0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7" name="Picture 3775">
              <a:extLst>
                <a:ext uri="{FF2B5EF4-FFF2-40B4-BE49-F238E27FC236}">
                  <a16:creationId xmlns:a16="http://schemas.microsoft.com/office/drawing/2014/main" id="{911AD8E3-5A22-4586-37C4-497F5500E7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8" name="Picture 18590">
              <a:extLst>
                <a:ext uri="{FF2B5EF4-FFF2-40B4-BE49-F238E27FC236}">
                  <a16:creationId xmlns:a16="http://schemas.microsoft.com/office/drawing/2014/main" id="{66831A71-EE16-CE82-7526-E8CC7D6AB5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9" name="Picture 18591">
              <a:extLst>
                <a:ext uri="{FF2B5EF4-FFF2-40B4-BE49-F238E27FC236}">
                  <a16:creationId xmlns:a16="http://schemas.microsoft.com/office/drawing/2014/main" id="{2F6083CE-9483-FF84-CD74-FCABCDC167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0" name="Picture 3784">
              <a:extLst>
                <a:ext uri="{FF2B5EF4-FFF2-40B4-BE49-F238E27FC236}">
                  <a16:creationId xmlns:a16="http://schemas.microsoft.com/office/drawing/2014/main" id="{F246D210-7474-AC23-7D7D-A665BF00AB4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1" name="Picture 18593">
              <a:extLst>
                <a:ext uri="{FF2B5EF4-FFF2-40B4-BE49-F238E27FC236}">
                  <a16:creationId xmlns:a16="http://schemas.microsoft.com/office/drawing/2014/main" id="{54345F92-D40B-6C49-744A-1F379E279F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2" name="Picture 18594">
              <a:extLst>
                <a:ext uri="{FF2B5EF4-FFF2-40B4-BE49-F238E27FC236}">
                  <a16:creationId xmlns:a16="http://schemas.microsoft.com/office/drawing/2014/main" id="{35993ABD-9463-43C0-60D3-B51477615C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3" name="Picture 18595">
              <a:extLst>
                <a:ext uri="{FF2B5EF4-FFF2-40B4-BE49-F238E27FC236}">
                  <a16:creationId xmlns:a16="http://schemas.microsoft.com/office/drawing/2014/main" id="{34B6F774-E270-C623-92A7-1A31034DA2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4" name="Picture 18596">
              <a:extLst>
                <a:ext uri="{FF2B5EF4-FFF2-40B4-BE49-F238E27FC236}">
                  <a16:creationId xmlns:a16="http://schemas.microsoft.com/office/drawing/2014/main" id="{68BDB529-24C6-6F11-43CC-BD3DB1F727D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5" name="Picture 18597">
              <a:extLst>
                <a:ext uri="{FF2B5EF4-FFF2-40B4-BE49-F238E27FC236}">
                  <a16:creationId xmlns:a16="http://schemas.microsoft.com/office/drawing/2014/main" id="{CD6E16B2-75C6-6CA0-0612-AFDE6B8B7D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6" name="Picture 18598">
              <a:extLst>
                <a:ext uri="{FF2B5EF4-FFF2-40B4-BE49-F238E27FC236}">
                  <a16:creationId xmlns:a16="http://schemas.microsoft.com/office/drawing/2014/main" id="{3D5408DD-F6B4-D13C-E8A7-A8925A3D11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7" name="Picture 18599">
              <a:extLst>
                <a:ext uri="{FF2B5EF4-FFF2-40B4-BE49-F238E27FC236}">
                  <a16:creationId xmlns:a16="http://schemas.microsoft.com/office/drawing/2014/main" id="{BB13434E-4A39-4981-79A8-DC8C5A14A2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8" name="Picture 18600">
              <a:extLst>
                <a:ext uri="{FF2B5EF4-FFF2-40B4-BE49-F238E27FC236}">
                  <a16:creationId xmlns:a16="http://schemas.microsoft.com/office/drawing/2014/main" id="{24D267F0-8C79-D68B-7B27-44DA93364D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9" name="Picture 18601">
              <a:extLst>
                <a:ext uri="{FF2B5EF4-FFF2-40B4-BE49-F238E27FC236}">
                  <a16:creationId xmlns:a16="http://schemas.microsoft.com/office/drawing/2014/main" id="{331B775D-4C8D-E291-7DDB-D7476EF1A6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0" name="Picture 8791">
              <a:extLst>
                <a:ext uri="{FF2B5EF4-FFF2-40B4-BE49-F238E27FC236}">
                  <a16:creationId xmlns:a16="http://schemas.microsoft.com/office/drawing/2014/main" id="{ECFF370F-C822-8477-EC90-B38FDC008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1" name="Picture 8792">
              <a:extLst>
                <a:ext uri="{FF2B5EF4-FFF2-40B4-BE49-F238E27FC236}">
                  <a16:creationId xmlns:a16="http://schemas.microsoft.com/office/drawing/2014/main" id="{F31E475C-7CE0-B530-EA19-6630F90689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2" name="Picture 18604">
              <a:extLst>
                <a:ext uri="{FF2B5EF4-FFF2-40B4-BE49-F238E27FC236}">
                  <a16:creationId xmlns:a16="http://schemas.microsoft.com/office/drawing/2014/main" id="{0AB7BA6F-8EFB-648A-5C6B-43CE343BF7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3" name="Picture 8794">
              <a:extLst>
                <a:ext uri="{FF2B5EF4-FFF2-40B4-BE49-F238E27FC236}">
                  <a16:creationId xmlns:a16="http://schemas.microsoft.com/office/drawing/2014/main" id="{6FCF6E56-5E92-0E57-9E4E-3079354EFE5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4" name="Picture 18606">
              <a:extLst>
                <a:ext uri="{FF2B5EF4-FFF2-40B4-BE49-F238E27FC236}">
                  <a16:creationId xmlns:a16="http://schemas.microsoft.com/office/drawing/2014/main" id="{3ED3C46E-AFE0-B55A-E2E8-5590E05D6F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5" name="Picture 18607">
              <a:extLst>
                <a:ext uri="{FF2B5EF4-FFF2-40B4-BE49-F238E27FC236}">
                  <a16:creationId xmlns:a16="http://schemas.microsoft.com/office/drawing/2014/main" id="{72BEBF29-3055-E707-58D7-AD262826DE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6" name="Picture 8797">
              <a:extLst>
                <a:ext uri="{FF2B5EF4-FFF2-40B4-BE49-F238E27FC236}">
                  <a16:creationId xmlns:a16="http://schemas.microsoft.com/office/drawing/2014/main" id="{5BC5CD67-6F0E-3610-1DF3-A5B9505AEF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7" name="Picture 18609">
              <a:extLst>
                <a:ext uri="{FF2B5EF4-FFF2-40B4-BE49-F238E27FC236}">
                  <a16:creationId xmlns:a16="http://schemas.microsoft.com/office/drawing/2014/main" id="{7E34EDC2-1055-B359-BB0B-815A400AE7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8" name="Picture 18610">
              <a:extLst>
                <a:ext uri="{FF2B5EF4-FFF2-40B4-BE49-F238E27FC236}">
                  <a16:creationId xmlns:a16="http://schemas.microsoft.com/office/drawing/2014/main" id="{AE828973-955D-2EEB-B189-00186E7D9D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9" name="Picture 18611">
              <a:extLst>
                <a:ext uri="{FF2B5EF4-FFF2-40B4-BE49-F238E27FC236}">
                  <a16:creationId xmlns:a16="http://schemas.microsoft.com/office/drawing/2014/main" id="{64133786-0A91-7E12-334E-2DFE3B9DD7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0" name="Picture 18612">
              <a:extLst>
                <a:ext uri="{FF2B5EF4-FFF2-40B4-BE49-F238E27FC236}">
                  <a16:creationId xmlns:a16="http://schemas.microsoft.com/office/drawing/2014/main" id="{B523F3D2-5DB6-E546-8F29-F9A4756BFA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1" name="Picture 18613">
              <a:extLst>
                <a:ext uri="{FF2B5EF4-FFF2-40B4-BE49-F238E27FC236}">
                  <a16:creationId xmlns:a16="http://schemas.microsoft.com/office/drawing/2014/main" id="{55FD9D64-A186-DC1B-190C-FB45CD95973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2" name="Picture 18614">
              <a:extLst>
                <a:ext uri="{FF2B5EF4-FFF2-40B4-BE49-F238E27FC236}">
                  <a16:creationId xmlns:a16="http://schemas.microsoft.com/office/drawing/2014/main" id="{DD76860E-2DCA-0D33-42F6-965F31437E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3" name="Picture 18615">
              <a:extLst>
                <a:ext uri="{FF2B5EF4-FFF2-40B4-BE49-F238E27FC236}">
                  <a16:creationId xmlns:a16="http://schemas.microsoft.com/office/drawing/2014/main" id="{17255389-0509-D0AE-924D-E9E2611FC0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4" name="Picture 18616">
              <a:extLst>
                <a:ext uri="{FF2B5EF4-FFF2-40B4-BE49-F238E27FC236}">
                  <a16:creationId xmlns:a16="http://schemas.microsoft.com/office/drawing/2014/main" id="{47C6B798-A6AB-7561-C161-30D0C7F2F5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5" name="Picture 8806">
              <a:extLst>
                <a:ext uri="{FF2B5EF4-FFF2-40B4-BE49-F238E27FC236}">
                  <a16:creationId xmlns:a16="http://schemas.microsoft.com/office/drawing/2014/main" id="{03FB526A-6E4C-D67D-7C28-203625F5A8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6" name="Picture 18618">
              <a:extLst>
                <a:ext uri="{FF2B5EF4-FFF2-40B4-BE49-F238E27FC236}">
                  <a16:creationId xmlns:a16="http://schemas.microsoft.com/office/drawing/2014/main" id="{BA77FBAA-6963-39A3-BFFD-12A02CF776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7" name="Picture 18619">
              <a:extLst>
                <a:ext uri="{FF2B5EF4-FFF2-40B4-BE49-F238E27FC236}">
                  <a16:creationId xmlns:a16="http://schemas.microsoft.com/office/drawing/2014/main" id="{E93A0051-3A30-147E-4051-A887DF74A7F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8" name="Picture 8810">
              <a:extLst>
                <a:ext uri="{FF2B5EF4-FFF2-40B4-BE49-F238E27FC236}">
                  <a16:creationId xmlns:a16="http://schemas.microsoft.com/office/drawing/2014/main" id="{6F98060F-135E-87B3-FA42-7261530A53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9" name="Picture 18621">
              <a:extLst>
                <a:ext uri="{FF2B5EF4-FFF2-40B4-BE49-F238E27FC236}">
                  <a16:creationId xmlns:a16="http://schemas.microsoft.com/office/drawing/2014/main" id="{05FC340A-3D1C-9C82-B847-B7CB47576D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0" name="Picture 8812">
              <a:extLst>
                <a:ext uri="{FF2B5EF4-FFF2-40B4-BE49-F238E27FC236}">
                  <a16:creationId xmlns:a16="http://schemas.microsoft.com/office/drawing/2014/main" id="{0A85BA1B-0AF8-9868-D1F6-6E939D73575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1" name="Picture 8813">
              <a:extLst>
                <a:ext uri="{FF2B5EF4-FFF2-40B4-BE49-F238E27FC236}">
                  <a16:creationId xmlns:a16="http://schemas.microsoft.com/office/drawing/2014/main" id="{725195ED-A62D-C3B3-B2CB-0FFF4F56DF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2" name="Picture 18624">
              <a:extLst>
                <a:ext uri="{FF2B5EF4-FFF2-40B4-BE49-F238E27FC236}">
                  <a16:creationId xmlns:a16="http://schemas.microsoft.com/office/drawing/2014/main" id="{861662B5-C790-2DC0-213E-391338366C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3" name="Picture 8815">
              <a:extLst>
                <a:ext uri="{FF2B5EF4-FFF2-40B4-BE49-F238E27FC236}">
                  <a16:creationId xmlns:a16="http://schemas.microsoft.com/office/drawing/2014/main" id="{6055616F-DC8B-F46A-9CA5-C9FDC3075B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4" name="Picture 8816">
              <a:extLst>
                <a:ext uri="{FF2B5EF4-FFF2-40B4-BE49-F238E27FC236}">
                  <a16:creationId xmlns:a16="http://schemas.microsoft.com/office/drawing/2014/main" id="{DE57D1D1-FB3B-8979-8884-B4C57AEC727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5" name="Picture 8817">
              <a:extLst>
                <a:ext uri="{FF2B5EF4-FFF2-40B4-BE49-F238E27FC236}">
                  <a16:creationId xmlns:a16="http://schemas.microsoft.com/office/drawing/2014/main" id="{00139FE4-655D-78CE-4D0E-CE5BC14F3DA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6" name="Picture 8818">
              <a:extLst>
                <a:ext uri="{FF2B5EF4-FFF2-40B4-BE49-F238E27FC236}">
                  <a16:creationId xmlns:a16="http://schemas.microsoft.com/office/drawing/2014/main" id="{52EAF202-BC9B-36E8-B4A1-432FE772EF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7" name="Picture 8819">
              <a:extLst>
                <a:ext uri="{FF2B5EF4-FFF2-40B4-BE49-F238E27FC236}">
                  <a16:creationId xmlns:a16="http://schemas.microsoft.com/office/drawing/2014/main" id="{098EAC2C-4623-7683-90F6-4A9D5EE371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8" name="Picture 8820">
              <a:extLst>
                <a:ext uri="{FF2B5EF4-FFF2-40B4-BE49-F238E27FC236}">
                  <a16:creationId xmlns:a16="http://schemas.microsoft.com/office/drawing/2014/main" id="{320D673D-5503-D18C-3D01-D5259391C7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9" name="Picture 8821">
              <a:extLst>
                <a:ext uri="{FF2B5EF4-FFF2-40B4-BE49-F238E27FC236}">
                  <a16:creationId xmlns:a16="http://schemas.microsoft.com/office/drawing/2014/main" id="{8AB5D051-6764-5528-1663-8346E3E4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40" name="Picture 8822">
              <a:extLst>
                <a:ext uri="{FF2B5EF4-FFF2-40B4-BE49-F238E27FC236}">
                  <a16:creationId xmlns:a16="http://schemas.microsoft.com/office/drawing/2014/main" id="{A79DDF36-C021-DE27-3C74-E7ED4759B3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331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171139</xdr:colOff>
          <xdr:row>8</xdr:row>
          <xdr:rowOff>180858</xdr:rowOff>
        </xdr:from>
        <xdr:to>
          <xdr:col>9</xdr:col>
          <xdr:colOff>589915</xdr:colOff>
          <xdr:row>23</xdr:row>
          <xdr:rowOff>94666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8EF73508-DA92-4495-BFC9-050255E127B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:$E$15" spid="_x0000_s2331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71139" y="2698179"/>
              <a:ext cx="5453419" cy="283724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920998/OneDrive%20-%20Hyundai%20Motor%20and%20Kia/&#48148;&#53461;%20&#54868;&#47732;/&#45936;&#51060;&#53552;/&#49892;&#51201;/2023&#45380;/3&#50900;/230403%20(&#54364;)%20&#54788;&#45824;&#52264;,%202023&#45380;%203&#50900;%2038&#47564;%201,885&#45824;%20&#54032;&#475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3월"/>
      <sheetName val=" 내수"/>
      <sheetName val="⊙카메라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7974-8320-41B9-B27D-43181FE0C0C5}">
  <dimension ref="A1:K111"/>
  <sheetViews>
    <sheetView showGridLines="0" tabSelected="1" zoomScale="115" zoomScaleNormal="115" workbookViewId="0">
      <pane ySplit="5" topLeftCell="A6" activePane="bottomLeft" state="frozen"/>
      <selection activeCell="W7" sqref="W7"/>
      <selection pane="bottomLeft" activeCell="H7" sqref="H7"/>
    </sheetView>
  </sheetViews>
  <sheetFormatPr defaultColWidth="8.83203125" defaultRowHeight="14" x14ac:dyDescent="0.25"/>
  <cols>
    <col min="1" max="1" width="2.33203125" customWidth="1"/>
    <col min="2" max="2" width="4.33203125" style="1" customWidth="1"/>
    <col min="3" max="3" width="3.5" style="2" customWidth="1"/>
    <col min="4" max="4" width="9.58203125" style="2" customWidth="1"/>
    <col min="5" max="5" width="9.9140625" style="2" customWidth="1"/>
    <col min="6" max="6" width="8.33203125" style="2" customWidth="1"/>
    <col min="7" max="7" width="9.9140625" style="2" customWidth="1"/>
    <col min="8" max="8" width="8.4140625" style="2" customWidth="1"/>
    <col min="9" max="9" width="10.33203125" style="2" customWidth="1"/>
    <col min="10" max="10" width="10.33203125" style="2" bestFit="1" customWidth="1"/>
    <col min="11" max="11" width="8.5" style="2" customWidth="1"/>
    <col min="12" max="12" width="3.4140625" customWidth="1"/>
  </cols>
  <sheetData>
    <row r="1" spans="1:11" ht="17.5" x14ac:dyDescent="0.25">
      <c r="A1" s="360"/>
      <c r="B1" s="360"/>
      <c r="C1" s="360"/>
      <c r="D1" s="360"/>
      <c r="E1" s="360"/>
      <c r="F1" s="360"/>
      <c r="G1" s="360"/>
      <c r="H1" s="360"/>
      <c r="I1" s="360"/>
      <c r="J1" s="360"/>
    </row>
    <row r="2" spans="1:11" ht="17.5" x14ac:dyDescent="0.25">
      <c r="B2" s="360" t="s">
        <v>183</v>
      </c>
      <c r="C2" s="360"/>
      <c r="D2" s="360"/>
      <c r="E2" s="360"/>
      <c r="F2" s="360"/>
      <c r="G2" s="360"/>
      <c r="H2" s="360"/>
      <c r="I2" s="360"/>
      <c r="J2" s="360"/>
      <c r="K2" s="360"/>
    </row>
    <row r="3" spans="1:11" ht="14.5" thickBot="1" x14ac:dyDescent="0.3"/>
    <row r="4" spans="1:11" s="269" customFormat="1" ht="18.75" customHeight="1" x14ac:dyDescent="0.25">
      <c r="B4" s="365" t="s">
        <v>163</v>
      </c>
      <c r="C4" s="366"/>
      <c r="D4" s="270">
        <v>2025</v>
      </c>
      <c r="E4" s="271">
        <f>D4-1</f>
        <v>2024</v>
      </c>
      <c r="F4" s="369" t="s">
        <v>164</v>
      </c>
      <c r="G4" s="272">
        <v>2025</v>
      </c>
      <c r="H4" s="371" t="s">
        <v>165</v>
      </c>
      <c r="I4" s="273">
        <f>D4</f>
        <v>2025</v>
      </c>
      <c r="J4" s="271">
        <f>I4-1</f>
        <v>2024</v>
      </c>
      <c r="K4" s="369" t="s">
        <v>166</v>
      </c>
    </row>
    <row r="5" spans="1:11" ht="18.75" customHeight="1" thickBot="1" x14ac:dyDescent="0.3">
      <c r="B5" s="367"/>
      <c r="C5" s="368"/>
      <c r="D5" s="274">
        <v>10</v>
      </c>
      <c r="E5" s="275">
        <f>D5</f>
        <v>10</v>
      </c>
      <c r="F5" s="370"/>
      <c r="G5" s="276">
        <f>IF(D5=1,12,D5-1)</f>
        <v>9</v>
      </c>
      <c r="H5" s="372"/>
      <c r="I5" s="277">
        <f>D5</f>
        <v>10</v>
      </c>
      <c r="J5" s="278">
        <f>D5</f>
        <v>10</v>
      </c>
      <c r="K5" s="370"/>
    </row>
    <row r="6" spans="1:11" ht="37.5" customHeight="1" x14ac:dyDescent="0.25">
      <c r="B6" s="373" t="s">
        <v>13</v>
      </c>
      <c r="C6" s="374"/>
      <c r="D6" s="279">
        <v>53822</v>
      </c>
      <c r="E6" s="280">
        <v>64912</v>
      </c>
      <c r="F6" s="281">
        <f>(D6-E6)/E6</f>
        <v>-0.17084668474242051</v>
      </c>
      <c r="G6" s="282">
        <v>66001</v>
      </c>
      <c r="H6" s="283">
        <f>(D6-G6)/G6</f>
        <v>-0.18452750715898245</v>
      </c>
      <c r="I6" s="279">
        <v>589280</v>
      </c>
      <c r="J6" s="280">
        <v>580517</v>
      </c>
      <c r="K6" s="281">
        <f>(I6-J6)/J6</f>
        <v>1.5095165171734851E-2</v>
      </c>
    </row>
    <row r="7" spans="1:11" ht="37.5" customHeight="1" thickBot="1" x14ac:dyDescent="0.3">
      <c r="B7" s="361" t="s">
        <v>12</v>
      </c>
      <c r="C7" s="362"/>
      <c r="D7" s="284">
        <v>297931</v>
      </c>
      <c r="E7" s="285">
        <v>313005</v>
      </c>
      <c r="F7" s="286">
        <f>(D7-E7)/E7</f>
        <v>-4.815897509624447E-2</v>
      </c>
      <c r="G7" s="287">
        <v>300730</v>
      </c>
      <c r="H7" s="288">
        <f>(D7-G7)/G7</f>
        <v>-9.3073521098659927E-3</v>
      </c>
      <c r="I7" s="284">
        <v>2867819</v>
      </c>
      <c r="J7" s="285">
        <v>2873120</v>
      </c>
      <c r="K7" s="286">
        <f>(I7-J7)/J7</f>
        <v>-1.8450325778248038E-3</v>
      </c>
    </row>
    <row r="8" spans="1:11" ht="37.5" customHeight="1" thickBot="1" x14ac:dyDescent="0.3">
      <c r="B8" s="363" t="s">
        <v>0</v>
      </c>
      <c r="C8" s="364"/>
      <c r="D8" s="289">
        <f>SUM(D6:D7)</f>
        <v>351753</v>
      </c>
      <c r="E8" s="285">
        <f>SUM(E6:E7)</f>
        <v>377917</v>
      </c>
      <c r="F8" s="290">
        <f>(D8-E8)/E8</f>
        <v>-6.923213298158061E-2</v>
      </c>
      <c r="G8" s="291">
        <f>SUM(G6:G7)</f>
        <v>366731</v>
      </c>
      <c r="H8" s="292">
        <f>(D8-G8)/G8</f>
        <v>-4.0841925007703193E-2</v>
      </c>
      <c r="I8" s="289">
        <f>SUM(I6:I7)</f>
        <v>3457099</v>
      </c>
      <c r="J8" s="285">
        <f>SUM(J6:J7)</f>
        <v>3453637</v>
      </c>
      <c r="K8" s="290">
        <f>(I8-J8)/J8</f>
        <v>1.0024215052131999E-3</v>
      </c>
    </row>
    <row r="9" spans="1:11" ht="15" customHeight="1" x14ac:dyDescent="0.25">
      <c r="A9" s="147"/>
      <c r="B9" s="189"/>
      <c r="C9" s="189"/>
      <c r="D9" s="293"/>
      <c r="E9" s="294"/>
      <c r="F9" s="295"/>
      <c r="G9" s="294"/>
      <c r="H9" s="295"/>
      <c r="I9" s="293"/>
      <c r="J9" s="294"/>
      <c r="K9" s="295"/>
    </row>
    <row r="10" spans="1:11" ht="15" customHeight="1" x14ac:dyDescent="0.25">
      <c r="A10" s="147"/>
      <c r="B10" s="189"/>
      <c r="C10" s="189"/>
      <c r="D10" s="293"/>
      <c r="E10" s="294"/>
      <c r="F10" s="295"/>
      <c r="G10" s="294"/>
      <c r="H10" s="295"/>
      <c r="I10" s="293"/>
      <c r="J10" s="294"/>
      <c r="K10" s="295"/>
    </row>
    <row r="11" spans="1:11" ht="15" customHeight="1" x14ac:dyDescent="0.25">
      <c r="A11" s="147"/>
      <c r="B11" s="189"/>
      <c r="C11" s="189"/>
      <c r="D11" s="293"/>
      <c r="E11" s="294"/>
      <c r="F11" s="295"/>
      <c r="G11" s="294"/>
      <c r="H11" s="295"/>
      <c r="I11" s="293"/>
      <c r="J11" s="294"/>
      <c r="K11" s="295"/>
    </row>
    <row r="12" spans="1:11" ht="15" customHeight="1" x14ac:dyDescent="0.25">
      <c r="A12" s="147"/>
      <c r="B12" s="189"/>
      <c r="C12" s="189"/>
      <c r="D12" s="293"/>
      <c r="E12" s="294"/>
      <c r="F12" s="295"/>
      <c r="G12" s="294"/>
      <c r="H12" s="295"/>
      <c r="I12" s="293"/>
      <c r="J12" s="294"/>
      <c r="K12" s="295"/>
    </row>
    <row r="13" spans="1:11" ht="15" customHeight="1" x14ac:dyDescent="0.25">
      <c r="A13" s="147"/>
      <c r="B13" s="189"/>
      <c r="C13" s="189"/>
      <c r="D13" s="293"/>
      <c r="E13" s="294"/>
      <c r="F13" s="295"/>
      <c r="G13" s="294"/>
      <c r="H13" s="295"/>
      <c r="I13" s="293"/>
      <c r="J13" s="294"/>
      <c r="K13" s="295"/>
    </row>
    <row r="14" spans="1:11" ht="15" customHeight="1" x14ac:dyDescent="0.25">
      <c r="A14" s="147"/>
      <c r="B14" s="189"/>
      <c r="C14" s="189"/>
      <c r="D14" s="293"/>
      <c r="E14" s="294"/>
      <c r="F14" s="295"/>
      <c r="G14" s="294"/>
      <c r="H14" s="295"/>
      <c r="I14" s="293"/>
      <c r="J14" s="294"/>
      <c r="K14" s="295"/>
    </row>
    <row r="15" spans="1:11" ht="15" customHeight="1" x14ac:dyDescent="0.25">
      <c r="A15" s="147"/>
      <c r="B15" s="189"/>
      <c r="C15" s="189"/>
      <c r="D15" s="293"/>
      <c r="E15" s="294"/>
      <c r="F15" s="295"/>
      <c r="G15" s="294"/>
      <c r="H15" s="295"/>
      <c r="I15" s="293"/>
      <c r="J15" s="294"/>
      <c r="K15" s="295"/>
    </row>
    <row r="16" spans="1:11" ht="15" customHeight="1" x14ac:dyDescent="0.25">
      <c r="A16" s="147"/>
      <c r="B16" s="189"/>
      <c r="C16" s="189"/>
      <c r="D16" s="293"/>
      <c r="E16" s="294"/>
      <c r="F16" s="295"/>
      <c r="G16" s="294"/>
      <c r="H16" s="295"/>
      <c r="I16" s="293"/>
      <c r="J16" s="294"/>
      <c r="K16" s="295"/>
    </row>
    <row r="17" spans="1:11" ht="15" customHeight="1" x14ac:dyDescent="0.25">
      <c r="A17" s="147"/>
      <c r="B17" s="189"/>
      <c r="C17" s="189"/>
      <c r="D17" s="293"/>
      <c r="E17" s="294"/>
      <c r="F17" s="295"/>
      <c r="G17" s="294"/>
      <c r="H17" s="295"/>
      <c r="I17" s="293"/>
      <c r="J17" s="294"/>
      <c r="K17" s="295"/>
    </row>
    <row r="18" spans="1:11" ht="15" customHeight="1" x14ac:dyDescent="0.25">
      <c r="A18" s="147"/>
      <c r="B18" s="189"/>
      <c r="C18" s="189"/>
      <c r="D18" s="293"/>
      <c r="E18" s="294"/>
      <c r="F18" s="295"/>
      <c r="G18" s="294"/>
      <c r="H18" s="295"/>
      <c r="I18" s="293"/>
      <c r="J18" s="294"/>
      <c r="K18" s="295"/>
    </row>
    <row r="19" spans="1:11" ht="15" customHeight="1" x14ac:dyDescent="0.25">
      <c r="A19" s="147"/>
      <c r="B19" s="189"/>
      <c r="C19" s="189"/>
      <c r="D19" s="293"/>
      <c r="E19" s="294"/>
      <c r="F19" s="295"/>
      <c r="G19" s="294"/>
      <c r="H19" s="295"/>
      <c r="I19" s="293"/>
      <c r="J19" s="294"/>
      <c r="K19" s="295"/>
    </row>
    <row r="20" spans="1:11" ht="15" customHeight="1" x14ac:dyDescent="0.25">
      <c r="A20" s="147"/>
      <c r="B20" s="189"/>
      <c r="C20" s="189"/>
      <c r="D20" s="293"/>
      <c r="E20" s="294"/>
      <c r="F20" s="295"/>
      <c r="G20" s="294"/>
      <c r="H20" s="295"/>
      <c r="I20" s="293"/>
      <c r="J20" s="294"/>
      <c r="K20" s="295"/>
    </row>
    <row r="21" spans="1:11" ht="15" customHeight="1" x14ac:dyDescent="0.25">
      <c r="A21" s="147"/>
      <c r="B21" s="189"/>
      <c r="C21" s="189"/>
      <c r="D21" s="293"/>
      <c r="E21" s="294"/>
      <c r="F21" s="295"/>
      <c r="G21" s="294"/>
      <c r="H21" s="295"/>
      <c r="I21" s="293"/>
      <c r="J21" s="294"/>
      <c r="K21" s="295"/>
    </row>
    <row r="22" spans="1:11" ht="15" customHeight="1" x14ac:dyDescent="0.25">
      <c r="A22" s="147"/>
      <c r="B22" s="189"/>
      <c r="C22" s="189"/>
      <c r="D22" s="293"/>
      <c r="E22" s="294"/>
      <c r="F22" s="295"/>
      <c r="G22" s="294"/>
      <c r="H22" s="295"/>
      <c r="I22" s="293"/>
      <c r="J22" s="294"/>
      <c r="K22" s="295"/>
    </row>
    <row r="23" spans="1:11" ht="15" customHeight="1" x14ac:dyDescent="0.25">
      <c r="A23" s="147"/>
      <c r="B23" s="189"/>
      <c r="C23" s="189"/>
      <c r="D23" s="293"/>
      <c r="E23" s="294"/>
      <c r="F23" s="295"/>
      <c r="G23" s="294"/>
      <c r="H23" s="295"/>
      <c r="I23" s="293"/>
      <c r="J23" s="294"/>
      <c r="K23" s="295"/>
    </row>
    <row r="24" spans="1:11" ht="15" customHeight="1" x14ac:dyDescent="0.25">
      <c r="A24" s="147"/>
      <c r="B24" s="189"/>
      <c r="C24" s="189"/>
      <c r="D24" s="293"/>
      <c r="E24" s="294"/>
      <c r="F24" s="295"/>
      <c r="G24" s="294"/>
      <c r="H24" s="295"/>
      <c r="I24" s="293"/>
      <c r="J24" s="294"/>
      <c r="K24" s="295"/>
    </row>
    <row r="25" spans="1:11" ht="15" customHeight="1" x14ac:dyDescent="0.25">
      <c r="A25" s="147"/>
      <c r="B25" s="189"/>
      <c r="C25" s="189"/>
      <c r="D25" s="293"/>
      <c r="E25" s="294"/>
      <c r="F25" s="295"/>
      <c r="G25" s="294"/>
      <c r="H25" s="295"/>
      <c r="I25" s="293"/>
      <c r="J25" s="294"/>
      <c r="K25" s="295"/>
    </row>
    <row r="26" spans="1:11" ht="15" customHeight="1" x14ac:dyDescent="0.25">
      <c r="A26" s="147"/>
      <c r="B26" s="189"/>
      <c r="C26" s="189"/>
      <c r="D26" s="293"/>
      <c r="E26" s="294"/>
      <c r="F26" s="295"/>
      <c r="G26" s="294"/>
      <c r="H26" s="295"/>
      <c r="I26" s="293"/>
      <c r="J26" s="294"/>
      <c r="K26" s="295"/>
    </row>
    <row r="27" spans="1:11" ht="15" customHeight="1" x14ac:dyDescent="0.25">
      <c r="A27" s="147"/>
      <c r="B27" s="189"/>
      <c r="C27" s="189"/>
      <c r="D27" s="293"/>
      <c r="E27" s="294"/>
      <c r="F27" s="295"/>
      <c r="G27" s="294"/>
      <c r="H27" s="295"/>
      <c r="I27" s="293"/>
      <c r="J27" s="294"/>
      <c r="K27" s="295"/>
    </row>
    <row r="28" spans="1:11" ht="15" customHeight="1" x14ac:dyDescent="0.25">
      <c r="A28" s="147"/>
      <c r="B28" s="189"/>
      <c r="C28" s="189"/>
      <c r="D28" s="293"/>
      <c r="E28" s="294"/>
      <c r="F28" s="295"/>
      <c r="G28" s="294"/>
      <c r="H28" s="295"/>
      <c r="I28" s="293"/>
      <c r="J28" s="294"/>
      <c r="K28" s="295"/>
    </row>
    <row r="29" spans="1:11" ht="15" customHeight="1" x14ac:dyDescent="0.25">
      <c r="A29" s="147"/>
      <c r="B29" s="189"/>
      <c r="C29" s="189"/>
      <c r="D29" s="293"/>
      <c r="E29" s="294"/>
      <c r="F29" s="295"/>
      <c r="G29" s="294"/>
      <c r="H29" s="295"/>
      <c r="I29" s="293"/>
      <c r="J29" s="294"/>
      <c r="K29" s="295"/>
    </row>
    <row r="30" spans="1:11" ht="15" customHeight="1" x14ac:dyDescent="0.25">
      <c r="A30" s="147"/>
      <c r="B30" s="189"/>
      <c r="C30" s="189"/>
      <c r="D30" s="293"/>
      <c r="E30" s="294"/>
      <c r="F30" s="295"/>
      <c r="G30" s="294"/>
      <c r="H30" s="295"/>
      <c r="I30" s="293"/>
      <c r="J30" s="294"/>
      <c r="K30" s="295"/>
    </row>
    <row r="31" spans="1:11" ht="15" customHeight="1" x14ac:dyDescent="0.25">
      <c r="A31" s="147"/>
      <c r="B31" s="189"/>
      <c r="C31" s="189"/>
      <c r="D31" s="293"/>
      <c r="E31" s="294"/>
      <c r="F31" s="295"/>
      <c r="G31" s="294"/>
      <c r="H31" s="295"/>
      <c r="I31" s="293"/>
      <c r="J31" s="294"/>
      <c r="K31" s="295"/>
    </row>
    <row r="32" spans="1:11" ht="15" customHeight="1" x14ac:dyDescent="0.25">
      <c r="A32" s="147"/>
      <c r="B32" s="189"/>
      <c r="C32" s="189"/>
      <c r="D32" s="293"/>
      <c r="E32" s="294"/>
      <c r="F32" s="295"/>
      <c r="G32" s="294"/>
      <c r="H32" s="295"/>
      <c r="I32" s="293"/>
      <c r="J32" s="294"/>
      <c r="K32" s="295"/>
    </row>
    <row r="33" spans="1:11" ht="15" customHeight="1" x14ac:dyDescent="0.25">
      <c r="A33" s="147"/>
      <c r="B33" s="189"/>
      <c r="C33" s="189"/>
      <c r="D33" s="293"/>
      <c r="E33" s="294"/>
      <c r="F33" s="295"/>
      <c r="G33" s="294"/>
      <c r="H33" s="295"/>
      <c r="I33" s="293"/>
      <c r="J33" s="294"/>
      <c r="K33" s="295"/>
    </row>
    <row r="34" spans="1:11" ht="15" customHeight="1" x14ac:dyDescent="0.25">
      <c r="A34" s="147"/>
      <c r="B34" s="189"/>
      <c r="C34" s="189"/>
      <c r="D34" s="293"/>
      <c r="E34" s="294"/>
      <c r="F34" s="295"/>
      <c r="G34" s="294"/>
      <c r="H34" s="295"/>
      <c r="I34" s="293"/>
      <c r="J34" s="294"/>
      <c r="K34" s="295"/>
    </row>
    <row r="35" spans="1:11" x14ac:dyDescent="0.25">
      <c r="A35" s="147"/>
      <c r="B35" s="189"/>
      <c r="C35" s="189"/>
      <c r="D35" s="293"/>
      <c r="E35" s="294"/>
      <c r="F35" s="295"/>
      <c r="G35" s="294"/>
      <c r="H35" s="295"/>
      <c r="I35" s="293"/>
      <c r="J35" s="294"/>
      <c r="K35" s="295"/>
    </row>
    <row r="36" spans="1:11" ht="15" customHeight="1" x14ac:dyDescent="0.25">
      <c r="A36" s="147"/>
      <c r="B36" s="189"/>
      <c r="C36" s="189"/>
      <c r="D36" s="293"/>
      <c r="E36" s="294"/>
      <c r="F36" s="295"/>
      <c r="G36" s="294"/>
      <c r="H36" s="295"/>
      <c r="I36" s="293"/>
      <c r="J36" s="294"/>
      <c r="K36" s="295"/>
    </row>
    <row r="37" spans="1:11" ht="15" customHeight="1" x14ac:dyDescent="0.25">
      <c r="A37" s="147"/>
      <c r="B37" s="189"/>
      <c r="C37" s="189"/>
      <c r="D37" s="293"/>
      <c r="E37" s="294"/>
      <c r="F37" s="295"/>
      <c r="G37" s="294"/>
      <c r="H37" s="295"/>
      <c r="I37" s="293"/>
      <c r="J37" s="294"/>
      <c r="K37" s="295"/>
    </row>
    <row r="38" spans="1:11" ht="15" customHeight="1" x14ac:dyDescent="0.25">
      <c r="A38" s="147"/>
      <c r="B38" s="189"/>
      <c r="C38" s="189"/>
      <c r="D38" s="293"/>
      <c r="E38" s="294"/>
      <c r="F38" s="295"/>
      <c r="G38" s="294"/>
      <c r="H38" s="295"/>
      <c r="I38" s="293"/>
      <c r="J38" s="294"/>
      <c r="K38" s="295"/>
    </row>
    <row r="39" spans="1:11" ht="15" customHeight="1" x14ac:dyDescent="0.25">
      <c r="A39" s="147"/>
      <c r="B39" s="189"/>
      <c r="C39" s="189"/>
      <c r="D39" s="293"/>
      <c r="E39" s="294"/>
      <c r="F39" s="295"/>
      <c r="G39" s="294"/>
      <c r="H39" s="295"/>
      <c r="I39" s="293"/>
      <c r="J39" s="294"/>
      <c r="K39" s="295"/>
    </row>
    <row r="40" spans="1:11" ht="15" customHeight="1" x14ac:dyDescent="0.25">
      <c r="A40" s="147"/>
      <c r="B40" s="189"/>
      <c r="C40" s="189"/>
      <c r="D40" s="293"/>
      <c r="E40" s="294"/>
      <c r="F40" s="295"/>
      <c r="G40" s="294"/>
      <c r="H40" s="295"/>
      <c r="I40" s="293"/>
      <c r="J40" s="294"/>
      <c r="K40" s="295"/>
    </row>
    <row r="41" spans="1:11" ht="15" customHeight="1" x14ac:dyDescent="0.25">
      <c r="A41" s="147"/>
      <c r="B41" s="189"/>
      <c r="C41" s="189"/>
      <c r="D41" s="293"/>
      <c r="E41" s="294"/>
      <c r="F41" s="295"/>
      <c r="G41" s="294"/>
      <c r="H41" s="295"/>
      <c r="I41" s="293"/>
      <c r="J41" s="294"/>
      <c r="K41" s="295"/>
    </row>
    <row r="42" spans="1:11" ht="15" customHeight="1" x14ac:dyDescent="0.25">
      <c r="A42" s="147"/>
      <c r="B42" s="189"/>
      <c r="C42" s="189"/>
      <c r="D42" s="293"/>
      <c r="E42" s="294"/>
      <c r="F42" s="295"/>
      <c r="G42" s="294"/>
      <c r="H42" s="295"/>
      <c r="I42" s="293"/>
      <c r="J42" s="294"/>
      <c r="K42" s="295"/>
    </row>
    <row r="43" spans="1:11" ht="15" customHeight="1" x14ac:dyDescent="0.25">
      <c r="A43" s="147"/>
      <c r="B43" s="189"/>
      <c r="C43" s="189"/>
      <c r="D43" s="293"/>
      <c r="E43" s="294"/>
      <c r="F43" s="295"/>
      <c r="G43" s="294"/>
      <c r="H43" s="295"/>
      <c r="I43" s="293"/>
      <c r="J43" s="294"/>
      <c r="K43" s="295"/>
    </row>
    <row r="44" spans="1:11" ht="15" customHeight="1" x14ac:dyDescent="0.25">
      <c r="A44" s="147"/>
      <c r="B44" s="189"/>
      <c r="C44" s="189"/>
      <c r="D44" s="293"/>
      <c r="E44" s="294"/>
      <c r="F44" s="295"/>
      <c r="G44" s="294"/>
      <c r="H44" s="295"/>
      <c r="I44" s="293"/>
      <c r="J44" s="294"/>
      <c r="K44" s="295"/>
    </row>
    <row r="45" spans="1:11" ht="15" customHeight="1" x14ac:dyDescent="0.25">
      <c r="A45" s="147"/>
      <c r="B45" s="189"/>
      <c r="C45" s="189"/>
      <c r="D45" s="293"/>
      <c r="E45" s="294"/>
      <c r="F45" s="295"/>
      <c r="G45" s="294"/>
      <c r="H45" s="295"/>
      <c r="I45" s="293"/>
      <c r="J45" s="294"/>
      <c r="K45" s="295"/>
    </row>
    <row r="46" spans="1:11" ht="15" customHeight="1" x14ac:dyDescent="0.25">
      <c r="A46" s="147"/>
      <c r="B46" s="189"/>
      <c r="C46" s="189"/>
      <c r="D46" s="293"/>
      <c r="E46" s="294"/>
      <c r="F46" s="295"/>
      <c r="G46" s="294"/>
      <c r="H46" s="295"/>
      <c r="I46" s="293"/>
      <c r="J46" s="294"/>
      <c r="K46" s="295"/>
    </row>
    <row r="47" spans="1:11" x14ac:dyDescent="0.25">
      <c r="A47" s="147"/>
      <c r="B47" s="189"/>
      <c r="C47" s="189"/>
      <c r="D47" s="293"/>
      <c r="E47" s="294"/>
      <c r="F47" s="295"/>
      <c r="G47" s="294"/>
      <c r="H47" s="295"/>
      <c r="I47" s="293"/>
      <c r="J47" s="294"/>
      <c r="K47" s="295"/>
    </row>
    <row r="48" spans="1:11" ht="15" customHeight="1" x14ac:dyDescent="0.25">
      <c r="A48" s="147"/>
      <c r="B48" s="189"/>
      <c r="C48" s="189"/>
      <c r="D48" s="293"/>
      <c r="E48" s="294"/>
      <c r="F48" s="295"/>
      <c r="G48" s="294"/>
      <c r="H48" s="295"/>
      <c r="I48" s="293"/>
      <c r="J48" s="294"/>
      <c r="K48" s="295"/>
    </row>
    <row r="49" spans="1:11" ht="4.25" customHeight="1" x14ac:dyDescent="0.25">
      <c r="A49" s="147"/>
      <c r="B49" s="189"/>
      <c r="C49" s="189"/>
      <c r="D49" s="293"/>
      <c r="E49" s="294"/>
      <c r="F49" s="295"/>
      <c r="G49" s="294"/>
      <c r="H49" s="295"/>
      <c r="I49" s="293"/>
      <c r="J49" s="294"/>
      <c r="K49" s="295"/>
    </row>
    <row r="50" spans="1:11" ht="15" customHeight="1" x14ac:dyDescent="0.25">
      <c r="A50" s="147"/>
      <c r="B50" s="189"/>
      <c r="C50" s="189"/>
      <c r="D50" s="293"/>
      <c r="E50" s="294"/>
      <c r="F50" s="295"/>
      <c r="G50" s="294"/>
      <c r="H50" s="295"/>
      <c r="I50" s="293"/>
      <c r="J50" s="294"/>
      <c r="K50" s="295"/>
    </row>
    <row r="51" spans="1:11" x14ac:dyDescent="0.25">
      <c r="A51" s="147"/>
      <c r="B51" s="189"/>
      <c r="C51" s="189"/>
      <c r="D51" s="293"/>
      <c r="E51" s="294"/>
      <c r="F51" s="295"/>
      <c r="G51" s="294"/>
      <c r="H51" s="295"/>
      <c r="I51" s="293"/>
      <c r="J51" s="294"/>
      <c r="K51" s="295"/>
    </row>
    <row r="52" spans="1:11" ht="15" customHeight="1" x14ac:dyDescent="0.25">
      <c r="A52" s="147"/>
      <c r="B52" s="189"/>
      <c r="C52" s="189"/>
      <c r="D52" s="293"/>
      <c r="E52" s="294"/>
      <c r="F52" s="295"/>
      <c r="G52" s="294"/>
      <c r="H52" s="295"/>
      <c r="I52" s="293"/>
      <c r="J52" s="294"/>
      <c r="K52" s="295"/>
    </row>
    <row r="53" spans="1:11" ht="15" customHeight="1" x14ac:dyDescent="0.25">
      <c r="A53" s="147"/>
      <c r="B53" s="189"/>
      <c r="C53" s="189"/>
      <c r="D53" s="293"/>
      <c r="E53" s="294"/>
      <c r="F53" s="295"/>
      <c r="G53" s="294"/>
      <c r="H53" s="295"/>
      <c r="I53" s="293"/>
      <c r="J53" s="294"/>
      <c r="K53" s="295"/>
    </row>
    <row r="54" spans="1:11" ht="15" customHeight="1" x14ac:dyDescent="0.25">
      <c r="A54" s="147"/>
      <c r="B54" s="189"/>
      <c r="C54" s="189"/>
      <c r="D54" s="293"/>
      <c r="E54" s="294"/>
      <c r="F54" s="295"/>
      <c r="G54" s="294"/>
      <c r="H54" s="295"/>
      <c r="I54" s="293"/>
      <c r="J54" s="294"/>
      <c r="K54" s="295"/>
    </row>
    <row r="55" spans="1:11" ht="15" customHeight="1" x14ac:dyDescent="0.25">
      <c r="A55" s="147"/>
      <c r="B55" s="189"/>
      <c r="C55" s="189"/>
      <c r="D55" s="293"/>
      <c r="E55" s="294"/>
      <c r="F55" s="295"/>
      <c r="G55" s="294"/>
      <c r="H55" s="295"/>
      <c r="I55" s="293"/>
      <c r="J55" s="294"/>
      <c r="K55" s="295"/>
    </row>
    <row r="56" spans="1:11" ht="15" customHeight="1" x14ac:dyDescent="0.25">
      <c r="A56" s="147"/>
      <c r="B56" s="189"/>
      <c r="C56" s="189"/>
      <c r="D56" s="293"/>
      <c r="E56" s="294"/>
      <c r="F56" s="295"/>
      <c r="G56" s="294"/>
      <c r="H56" s="295"/>
      <c r="I56" s="293"/>
      <c r="J56" s="294"/>
      <c r="K56" s="295"/>
    </row>
    <row r="57" spans="1:11" ht="15" customHeight="1" x14ac:dyDescent="0.25">
      <c r="A57" s="147"/>
      <c r="B57" s="189"/>
      <c r="C57" s="189"/>
      <c r="D57" s="293"/>
      <c r="E57" s="294"/>
      <c r="F57" s="295"/>
      <c r="G57" s="294"/>
      <c r="H57" s="295"/>
      <c r="I57" s="293"/>
      <c r="J57" s="294"/>
      <c r="K57" s="295"/>
    </row>
    <row r="58" spans="1:11" ht="15" customHeight="1" x14ac:dyDescent="0.25">
      <c r="A58" s="147"/>
      <c r="B58" s="189"/>
      <c r="C58" s="189"/>
      <c r="D58" s="293"/>
      <c r="E58" s="294"/>
      <c r="F58" s="295"/>
      <c r="G58" s="294"/>
      <c r="H58" s="295"/>
      <c r="I58" s="293"/>
      <c r="J58" s="294"/>
      <c r="K58" s="295"/>
    </row>
    <row r="59" spans="1:11" ht="15" customHeight="1" x14ac:dyDescent="0.25">
      <c r="A59" s="147"/>
      <c r="B59" s="189"/>
      <c r="C59" s="189"/>
      <c r="D59" s="293"/>
      <c r="E59" s="294"/>
      <c r="F59" s="295"/>
      <c r="G59" s="294"/>
      <c r="H59" s="295"/>
      <c r="I59" s="293"/>
      <c r="J59" s="294"/>
      <c r="K59" s="295"/>
    </row>
    <row r="60" spans="1:11" ht="15" customHeight="1" x14ac:dyDescent="0.25">
      <c r="A60" s="147"/>
      <c r="B60" s="189"/>
      <c r="C60" s="189"/>
      <c r="D60" s="293"/>
      <c r="E60" s="294"/>
      <c r="F60" s="295"/>
      <c r="G60" s="294"/>
      <c r="H60" s="295"/>
      <c r="I60" s="293"/>
      <c r="J60" s="294"/>
      <c r="K60" s="295"/>
    </row>
    <row r="61" spans="1:11" ht="15" customHeight="1" x14ac:dyDescent="0.25">
      <c r="A61" s="147"/>
      <c r="B61" s="189"/>
      <c r="C61" s="189"/>
      <c r="D61" s="293"/>
      <c r="E61" s="294"/>
      <c r="F61" s="295"/>
      <c r="G61" s="294"/>
      <c r="H61" s="295"/>
      <c r="I61" s="293"/>
      <c r="J61" s="294"/>
      <c r="K61" s="295"/>
    </row>
    <row r="62" spans="1:11" ht="15" customHeight="1" x14ac:dyDescent="0.25">
      <c r="A62" s="147"/>
      <c r="B62" s="189"/>
      <c r="C62" s="189"/>
      <c r="D62" s="293"/>
      <c r="E62" s="294"/>
      <c r="F62" s="295"/>
      <c r="G62" s="294"/>
      <c r="H62" s="295"/>
      <c r="I62" s="293"/>
      <c r="J62" s="294"/>
      <c r="K62" s="295"/>
    </row>
    <row r="63" spans="1:11" x14ac:dyDescent="0.25">
      <c r="A63" s="147"/>
      <c r="B63" s="189"/>
      <c r="C63" s="189"/>
      <c r="D63" s="293"/>
      <c r="E63" s="294"/>
      <c r="F63" s="295"/>
      <c r="G63" s="294"/>
      <c r="H63" s="295"/>
      <c r="I63" s="293"/>
      <c r="J63" s="294"/>
      <c r="K63" s="295"/>
    </row>
    <row r="64" spans="1:11" ht="15" customHeight="1" x14ac:dyDescent="0.25">
      <c r="A64" s="147"/>
      <c r="B64" s="189"/>
      <c r="C64" s="189"/>
      <c r="D64" s="293"/>
      <c r="E64" s="294"/>
      <c r="F64" s="295"/>
      <c r="G64" s="294"/>
      <c r="H64" s="295"/>
      <c r="I64" s="293"/>
      <c r="J64" s="294"/>
      <c r="K64" s="295"/>
    </row>
    <row r="65" spans="10:10" x14ac:dyDescent="0.25">
      <c r="J65" s="296"/>
    </row>
    <row r="66" spans="10:10" x14ac:dyDescent="0.25">
      <c r="J66" s="296"/>
    </row>
    <row r="67" spans="10:10" x14ac:dyDescent="0.25">
      <c r="J67" s="296"/>
    </row>
    <row r="68" spans="10:10" x14ac:dyDescent="0.25">
      <c r="J68" s="296"/>
    </row>
    <row r="69" spans="10:10" x14ac:dyDescent="0.25">
      <c r="J69" s="296"/>
    </row>
    <row r="70" spans="10:10" x14ac:dyDescent="0.25">
      <c r="J70" s="296"/>
    </row>
    <row r="71" spans="10:10" x14ac:dyDescent="0.25">
      <c r="J71" s="296"/>
    </row>
    <row r="72" spans="10:10" x14ac:dyDescent="0.25">
      <c r="J72" s="296"/>
    </row>
    <row r="73" spans="10:10" x14ac:dyDescent="0.25">
      <c r="J73" s="296"/>
    </row>
    <row r="74" spans="10:10" x14ac:dyDescent="0.25">
      <c r="J74" s="296"/>
    </row>
    <row r="75" spans="10:10" x14ac:dyDescent="0.25">
      <c r="J75" s="296"/>
    </row>
    <row r="76" spans="10:10" x14ac:dyDescent="0.25">
      <c r="J76" s="296"/>
    </row>
    <row r="77" spans="10:10" x14ac:dyDescent="0.25">
      <c r="J77" s="296"/>
    </row>
    <row r="78" spans="10:10" x14ac:dyDescent="0.25">
      <c r="J78" s="296"/>
    </row>
    <row r="79" spans="10:10" x14ac:dyDescent="0.25">
      <c r="J79" s="296"/>
    </row>
    <row r="80" spans="10:10" x14ac:dyDescent="0.25">
      <c r="J80" s="296"/>
    </row>
    <row r="81" spans="10:10" x14ac:dyDescent="0.25">
      <c r="J81" s="296"/>
    </row>
    <row r="82" spans="10:10" x14ac:dyDescent="0.25">
      <c r="J82" s="296"/>
    </row>
    <row r="83" spans="10:10" x14ac:dyDescent="0.25">
      <c r="J83" s="296"/>
    </row>
    <row r="84" spans="10:10" x14ac:dyDescent="0.25">
      <c r="J84" s="296"/>
    </row>
    <row r="85" spans="10:10" x14ac:dyDescent="0.25">
      <c r="J85" s="296"/>
    </row>
    <row r="86" spans="10:10" x14ac:dyDescent="0.25">
      <c r="J86" s="296"/>
    </row>
    <row r="87" spans="10:10" x14ac:dyDescent="0.25">
      <c r="J87" s="296"/>
    </row>
    <row r="88" spans="10:10" x14ac:dyDescent="0.25">
      <c r="J88" s="296"/>
    </row>
    <row r="89" spans="10:10" x14ac:dyDescent="0.25">
      <c r="J89" s="296"/>
    </row>
    <row r="90" spans="10:10" x14ac:dyDescent="0.25">
      <c r="J90" s="296"/>
    </row>
    <row r="91" spans="10:10" x14ac:dyDescent="0.25">
      <c r="J91" s="296"/>
    </row>
    <row r="92" spans="10:10" x14ac:dyDescent="0.25">
      <c r="J92" s="296"/>
    </row>
    <row r="93" spans="10:10" x14ac:dyDescent="0.25">
      <c r="J93" s="296"/>
    </row>
    <row r="94" spans="10:10" x14ac:dyDescent="0.25">
      <c r="J94" s="296"/>
    </row>
    <row r="95" spans="10:10" x14ac:dyDescent="0.25">
      <c r="J95" s="296"/>
    </row>
    <row r="96" spans="10:10" x14ac:dyDescent="0.25">
      <c r="J96" s="296"/>
    </row>
    <row r="97" spans="5:10" x14ac:dyDescent="0.25">
      <c r="J97" s="296"/>
    </row>
    <row r="98" spans="5:10" x14ac:dyDescent="0.25">
      <c r="J98" s="296"/>
    </row>
    <row r="99" spans="5:10" x14ac:dyDescent="0.25">
      <c r="J99" s="296"/>
    </row>
    <row r="100" spans="5:10" x14ac:dyDescent="0.25">
      <c r="J100" s="296"/>
    </row>
    <row r="101" spans="5:10" x14ac:dyDescent="0.25">
      <c r="J101" s="296"/>
    </row>
    <row r="102" spans="5:10" x14ac:dyDescent="0.25">
      <c r="E102" s="297"/>
      <c r="J102" s="296"/>
    </row>
    <row r="103" spans="5:10" x14ac:dyDescent="0.25">
      <c r="E103" s="297"/>
      <c r="J103" s="296"/>
    </row>
    <row r="104" spans="5:10" x14ac:dyDescent="0.25">
      <c r="J104" s="296"/>
    </row>
    <row r="111" spans="5:10" x14ac:dyDescent="0.25">
      <c r="J111" s="298"/>
    </row>
  </sheetData>
  <mergeCells count="9">
    <mergeCell ref="B2:K2"/>
    <mergeCell ref="A1:J1"/>
    <mergeCell ref="B7:C7"/>
    <mergeCell ref="B8:C8"/>
    <mergeCell ref="B4:C5"/>
    <mergeCell ref="F4:F5"/>
    <mergeCell ref="H4:H5"/>
    <mergeCell ref="K4:K5"/>
    <mergeCell ref="B6:C6"/>
  </mergeCells>
  <phoneticPr fontId="2" type="noConversion"/>
  <pageMargins left="0.7" right="0.7" top="0.75" bottom="0.75" header="0.3" footer="0.3"/>
  <pageSetup paperSize="9" scale="88" orientation="portrait" verticalDpi="0" r:id="rId1"/>
  <headerFooter>
    <oddFooter>&amp;L_x000D_&amp;1#&amp;"Calibri"&amp;10&amp;K000000 본 문서는 현대자동차·기아의 정보자산으로 귀사와의 비밀유지계약 및 제반법률에 따라 법적 보호를 받습니다.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68"/>
  <sheetViews>
    <sheetView showGridLines="0" zoomScaleNormal="100" zoomScaleSheetLayoutView="100" workbookViewId="0">
      <pane ySplit="4" topLeftCell="A21" activePane="bottomLeft" state="frozen"/>
      <selection activeCell="N7" sqref="N7"/>
      <selection pane="bottomLeft" activeCell="E16" sqref="E16"/>
    </sheetView>
  </sheetViews>
  <sheetFormatPr defaultColWidth="8" defaultRowHeight="15.5" x14ac:dyDescent="0.25"/>
  <cols>
    <col min="1" max="1" width="2" style="37" customWidth="1"/>
    <col min="2" max="3" width="2.58203125" style="37" customWidth="1"/>
    <col min="4" max="4" width="10.9140625" style="37" customWidth="1"/>
    <col min="5" max="5" width="10.33203125" style="37" customWidth="1"/>
    <col min="6" max="6" width="9" style="37" customWidth="1"/>
    <col min="7" max="7" width="9.58203125" style="38" bestFit="1" customWidth="1"/>
    <col min="8" max="9" width="10.33203125" style="37" customWidth="1"/>
    <col min="10" max="10" width="11.08203125" style="37" customWidth="1"/>
    <col min="11" max="11" width="9.58203125" style="37" customWidth="1"/>
    <col min="12" max="12" width="11.6640625" style="37" bestFit="1" customWidth="1"/>
    <col min="13" max="13" width="0.83203125" style="37" customWidth="1"/>
    <col min="14" max="14" width="9.6640625" style="37" customWidth="1"/>
    <col min="15" max="16384" width="8" style="37"/>
  </cols>
  <sheetData>
    <row r="1" spans="2:17" s="36" customFormat="1" ht="27.75" customHeight="1" x14ac:dyDescent="0.25">
      <c r="B1" s="378" t="s">
        <v>183</v>
      </c>
      <c r="C1" s="379"/>
      <c r="D1" s="379"/>
      <c r="E1" s="379"/>
      <c r="F1" s="379"/>
      <c r="G1" s="379"/>
      <c r="H1" s="379"/>
      <c r="I1" s="379"/>
      <c r="J1" s="379"/>
      <c r="K1" s="379"/>
      <c r="L1" s="379"/>
    </row>
    <row r="2" spans="2:17" ht="5.25" customHeight="1" x14ac:dyDescent="0.25">
      <c r="F2" s="37" t="s">
        <v>14</v>
      </c>
    </row>
    <row r="3" spans="2:17" s="39" customFormat="1" ht="22.5" customHeight="1" x14ac:dyDescent="0.25">
      <c r="B3" s="380" t="s">
        <v>15</v>
      </c>
      <c r="C3" s="381"/>
      <c r="D3" s="381"/>
      <c r="E3" s="138" t="s">
        <v>175</v>
      </c>
      <c r="F3" s="139"/>
      <c r="G3" s="140"/>
      <c r="H3" s="217" t="s">
        <v>161</v>
      </c>
      <c r="I3" s="218" t="s">
        <v>175</v>
      </c>
      <c r="J3" s="384" t="s">
        <v>184</v>
      </c>
      <c r="K3" s="141"/>
      <c r="L3" s="386" t="s">
        <v>185</v>
      </c>
      <c r="N3" s="87"/>
    </row>
    <row r="4" spans="2:17" s="39" customFormat="1" ht="24" x14ac:dyDescent="0.25">
      <c r="B4" s="382"/>
      <c r="C4" s="383"/>
      <c r="D4" s="383"/>
      <c r="E4" s="101">
        <v>10</v>
      </c>
      <c r="F4" s="61" t="s">
        <v>33</v>
      </c>
      <c r="G4" s="62" t="s">
        <v>24</v>
      </c>
      <c r="H4" s="215">
        <f>E4</f>
        <v>10</v>
      </c>
      <c r="I4" s="216">
        <f>IF(E4=1,12,E4-1)</f>
        <v>9</v>
      </c>
      <c r="J4" s="385"/>
      <c r="K4" s="302" t="s">
        <v>34</v>
      </c>
      <c r="L4" s="387"/>
      <c r="N4" s="88"/>
    </row>
    <row r="5" spans="2:17" ht="20.25" customHeight="1" x14ac:dyDescent="0.25">
      <c r="B5" s="390"/>
      <c r="C5" s="390"/>
      <c r="D5" s="43" t="s">
        <v>20</v>
      </c>
      <c r="E5" s="237">
        <f>1090+145+4779</f>
        <v>6014</v>
      </c>
      <c r="F5" s="158">
        <f t="shared" ref="F5:F34" si="0">(E5-H5)/H5</f>
        <v>3.6715620827770358E-3</v>
      </c>
      <c r="G5" s="159">
        <f t="shared" ref="G5:G35" si="1">(E5-I5)/I5</f>
        <v>-0.21641693811074919</v>
      </c>
      <c r="H5" s="228">
        <v>5992</v>
      </c>
      <c r="I5" s="228">
        <v>7675</v>
      </c>
      <c r="J5" s="237">
        <f>12859+1444+52796</f>
        <v>67099</v>
      </c>
      <c r="K5" s="160">
        <f>(J5-L5)/L5</f>
        <v>0.49188456065457131</v>
      </c>
      <c r="L5" s="228">
        <v>44976</v>
      </c>
      <c r="M5" s="242"/>
      <c r="N5" s="89"/>
    </row>
    <row r="6" spans="2:17" ht="20.25" customHeight="1" x14ac:dyDescent="0.25">
      <c r="B6" s="390"/>
      <c r="C6" s="390"/>
      <c r="D6" s="44" t="s">
        <v>21</v>
      </c>
      <c r="E6" s="237">
        <f>2379+691+1533</f>
        <v>4603</v>
      </c>
      <c r="F6" s="158">
        <f t="shared" si="0"/>
        <v>-8.7973053298989495E-2</v>
      </c>
      <c r="G6" s="159">
        <f t="shared" si="1"/>
        <v>-3.8437434719030709E-2</v>
      </c>
      <c r="H6" s="228">
        <v>5047</v>
      </c>
      <c r="I6" s="228">
        <v>4787</v>
      </c>
      <c r="J6" s="237">
        <f>20803+7191+14082</f>
        <v>42076</v>
      </c>
      <c r="K6" s="160">
        <f>(J6-L6)/L6</f>
        <v>-4.3944558054987502E-2</v>
      </c>
      <c r="L6" s="334">
        <v>44010</v>
      </c>
      <c r="M6" s="41"/>
      <c r="N6" s="89"/>
    </row>
    <row r="7" spans="2:17" ht="20.25" customHeight="1" x14ac:dyDescent="0.25">
      <c r="B7" s="390"/>
      <c r="C7" s="390"/>
      <c r="D7" s="43" t="s">
        <v>145</v>
      </c>
      <c r="E7" s="237">
        <f>327+40</f>
        <v>367</v>
      </c>
      <c r="F7" s="158">
        <f>(E7-H7)/H7</f>
        <v>-0.57621247113163976</v>
      </c>
      <c r="G7" s="159">
        <f>(E7-I7)/I7</f>
        <v>-0.44140030441400302</v>
      </c>
      <c r="H7" s="333">
        <v>866</v>
      </c>
      <c r="I7" s="228">
        <v>657</v>
      </c>
      <c r="J7" s="237">
        <f>4784+40</f>
        <v>4824</v>
      </c>
      <c r="K7" s="160">
        <f>(J7-L7)/L7</f>
        <v>0.19346857991093519</v>
      </c>
      <c r="L7" s="335">
        <v>4042</v>
      </c>
      <c r="M7" s="41"/>
      <c r="N7" s="89"/>
    </row>
    <row r="8" spans="2:17" ht="20.25" customHeight="1" x14ac:dyDescent="0.25">
      <c r="B8" s="390"/>
      <c r="C8" s="390"/>
      <c r="D8" s="45" t="s">
        <v>23</v>
      </c>
      <c r="E8" s="237">
        <f>2733+2341</f>
        <v>5074</v>
      </c>
      <c r="F8" s="158">
        <f t="shared" si="0"/>
        <v>-0.31736849186062155</v>
      </c>
      <c r="G8" s="159">
        <f t="shared" si="1"/>
        <v>-6.0022230455724343E-2</v>
      </c>
      <c r="H8" s="228">
        <v>7433</v>
      </c>
      <c r="I8" s="228">
        <v>5398</v>
      </c>
      <c r="J8" s="237">
        <f>28937+24741</f>
        <v>53678</v>
      </c>
      <c r="K8" s="160">
        <f>(J8-L8)/L8</f>
        <v>-9.6284324124114015E-2</v>
      </c>
      <c r="L8" s="334">
        <v>59397</v>
      </c>
      <c r="M8" s="41"/>
      <c r="N8" s="89"/>
    </row>
    <row r="9" spans="2:17" ht="20.25" customHeight="1" x14ac:dyDescent="0.25">
      <c r="B9" s="390"/>
      <c r="C9" s="388" t="s">
        <v>75</v>
      </c>
      <c r="D9" s="389"/>
      <c r="E9" s="186">
        <f>SUM(E5:E8)</f>
        <v>16058</v>
      </c>
      <c r="F9" s="161">
        <f t="shared" si="0"/>
        <v>-0.16961423104767814</v>
      </c>
      <c r="G9" s="162">
        <f t="shared" si="1"/>
        <v>-0.13279688934492628</v>
      </c>
      <c r="H9" s="208">
        <f>SUM(H5:H8)</f>
        <v>19338</v>
      </c>
      <c r="I9" s="208">
        <f>SUM(I5:I8)</f>
        <v>18517</v>
      </c>
      <c r="J9" s="186">
        <f>SUM(J5:J8)</f>
        <v>167677</v>
      </c>
      <c r="K9" s="163">
        <f>(J9-L9)/L9</f>
        <v>0.10006232573396752</v>
      </c>
      <c r="L9" s="336">
        <f>SUM(L5:L8)</f>
        <v>152425</v>
      </c>
      <c r="M9" s="41"/>
      <c r="N9" s="89"/>
      <c r="Q9" s="89"/>
    </row>
    <row r="10" spans="2:17" ht="20.25" customHeight="1" x14ac:dyDescent="0.25">
      <c r="B10" s="390"/>
      <c r="C10" s="390"/>
      <c r="D10" s="43" t="s">
        <v>132</v>
      </c>
      <c r="E10" s="238">
        <f>511+971</f>
        <v>1482</v>
      </c>
      <c r="F10" s="167">
        <f t="shared" si="0"/>
        <v>-0.59060773480662987</v>
      </c>
      <c r="G10" s="159">
        <f t="shared" si="1"/>
        <v>-0.3087686567164179</v>
      </c>
      <c r="H10" s="229">
        <v>3620</v>
      </c>
      <c r="I10" s="229">
        <v>2144</v>
      </c>
      <c r="J10" s="238">
        <f>6725+7567</f>
        <v>14292</v>
      </c>
      <c r="K10" s="166">
        <f t="shared" ref="K10:K15" si="2">(J10-L10)/L10</f>
        <v>-0.60742734714058122</v>
      </c>
      <c r="L10" s="337">
        <v>36406</v>
      </c>
      <c r="M10" s="41"/>
      <c r="N10" s="89"/>
    </row>
    <row r="11" spans="2:17" ht="20.25" customHeight="1" x14ac:dyDescent="0.25">
      <c r="B11" s="390"/>
      <c r="C11" s="390"/>
      <c r="D11" s="43" t="s">
        <v>86</v>
      </c>
      <c r="E11" s="237">
        <f>556</f>
        <v>556</v>
      </c>
      <c r="F11" s="167">
        <f t="shared" si="0"/>
        <v>0.26651480637813213</v>
      </c>
      <c r="G11" s="167">
        <f t="shared" si="1"/>
        <v>-0.44510978043912175</v>
      </c>
      <c r="H11" s="228">
        <v>439</v>
      </c>
      <c r="I11" s="228">
        <v>1002</v>
      </c>
      <c r="J11" s="353">
        <v>8620</v>
      </c>
      <c r="K11" s="160">
        <f t="shared" si="2"/>
        <v>1.2477183833116037</v>
      </c>
      <c r="L11" s="334">
        <v>3835</v>
      </c>
      <c r="M11" s="41"/>
      <c r="N11" s="89"/>
    </row>
    <row r="12" spans="2:17" ht="20.25" customHeight="1" x14ac:dyDescent="0.25">
      <c r="B12" s="390"/>
      <c r="C12" s="390"/>
      <c r="D12" s="43" t="s">
        <v>63</v>
      </c>
      <c r="E12" s="237">
        <f>421+726+1804</f>
        <v>2951</v>
      </c>
      <c r="F12" s="167">
        <f t="shared" si="0"/>
        <v>0.26706741090596825</v>
      </c>
      <c r="G12" s="159">
        <f t="shared" si="1"/>
        <v>-0.17707752370329058</v>
      </c>
      <c r="H12" s="228">
        <v>2329</v>
      </c>
      <c r="I12" s="228">
        <v>3586</v>
      </c>
      <c r="J12" s="237">
        <f>3801+6939+16248</f>
        <v>26988</v>
      </c>
      <c r="K12" s="160">
        <f t="shared" si="2"/>
        <v>0.13304504807086778</v>
      </c>
      <c r="L12" s="334">
        <v>23819</v>
      </c>
      <c r="M12" s="41"/>
      <c r="N12" s="89"/>
    </row>
    <row r="13" spans="2:17" ht="20.25" customHeight="1" x14ac:dyDescent="0.25">
      <c r="B13" s="390"/>
      <c r="C13" s="390"/>
      <c r="D13" s="43" t="s">
        <v>43</v>
      </c>
      <c r="E13" s="237">
        <f>1572+2337</f>
        <v>3909</v>
      </c>
      <c r="F13" s="167">
        <f t="shared" si="0"/>
        <v>-0.38586017282010998</v>
      </c>
      <c r="G13" s="159">
        <f t="shared" si="1"/>
        <v>-0.23801169590643276</v>
      </c>
      <c r="H13" s="228">
        <v>6365</v>
      </c>
      <c r="I13" s="228">
        <v>5130</v>
      </c>
      <c r="J13" s="353">
        <f>20020+23574</f>
        <v>43594</v>
      </c>
      <c r="K13" s="160">
        <f t="shared" si="2"/>
        <v>1.2189742041839839E-2</v>
      </c>
      <c r="L13" s="334">
        <v>43069</v>
      </c>
      <c r="M13" s="41"/>
      <c r="N13" s="89"/>
    </row>
    <row r="14" spans="2:17" ht="20.25" customHeight="1" x14ac:dyDescent="0.25">
      <c r="B14" s="390"/>
      <c r="C14" s="390"/>
      <c r="D14" s="43" t="s">
        <v>120</v>
      </c>
      <c r="E14" s="237">
        <f>1098+11</f>
        <v>1109</v>
      </c>
      <c r="F14" s="167">
        <f t="shared" si="0"/>
        <v>4.2293233082706765E-2</v>
      </c>
      <c r="G14" s="159">
        <f t="shared" si="1"/>
        <v>-0.51123843102688404</v>
      </c>
      <c r="H14" s="228">
        <v>1064</v>
      </c>
      <c r="I14" s="228">
        <v>2269</v>
      </c>
      <c r="J14" s="353">
        <f>13155+264</f>
        <v>13419</v>
      </c>
      <c r="K14" s="160">
        <f t="shared" si="2"/>
        <v>8.6558704453441299E-2</v>
      </c>
      <c r="L14" s="334">
        <v>12350</v>
      </c>
      <c r="M14" s="41"/>
      <c r="N14" s="89"/>
    </row>
    <row r="15" spans="2:17" ht="20.25" customHeight="1" x14ac:dyDescent="0.25">
      <c r="B15" s="390"/>
      <c r="C15" s="390"/>
      <c r="D15" s="43" t="s">
        <v>73</v>
      </c>
      <c r="E15" s="237">
        <v>646</v>
      </c>
      <c r="F15" s="167">
        <f t="shared" si="0"/>
        <v>2.5108695652173911</v>
      </c>
      <c r="G15" s="159">
        <f t="shared" si="1"/>
        <v>-0.47861178369652946</v>
      </c>
      <c r="H15" s="228">
        <v>184</v>
      </c>
      <c r="I15" s="228">
        <v>1239</v>
      </c>
      <c r="J15" s="353">
        <f>675+4139</f>
        <v>4814</v>
      </c>
      <c r="K15" s="160">
        <f t="shared" si="2"/>
        <v>0.85725308641975306</v>
      </c>
      <c r="L15" s="334">
        <v>2592</v>
      </c>
      <c r="M15" s="41"/>
      <c r="N15" s="89"/>
    </row>
    <row r="16" spans="2:17" ht="20.25" customHeight="1" x14ac:dyDescent="0.25">
      <c r="B16" s="390"/>
      <c r="C16" s="390"/>
      <c r="D16" s="43" t="s">
        <v>5</v>
      </c>
      <c r="E16" s="237">
        <f>1254+3607</f>
        <v>4861</v>
      </c>
      <c r="F16" s="158">
        <f t="shared" si="0"/>
        <v>-0.33356183164244585</v>
      </c>
      <c r="G16" s="159">
        <f t="shared" si="1"/>
        <v>-0.15651570362658337</v>
      </c>
      <c r="H16" s="228">
        <v>7294</v>
      </c>
      <c r="I16" s="228">
        <v>5763</v>
      </c>
      <c r="J16" s="353">
        <f>13009+37422</f>
        <v>50431</v>
      </c>
      <c r="K16" s="160">
        <f t="shared" ref="K16:K26" si="3">(J16-L16)/L16</f>
        <v>-0.20375457875457875</v>
      </c>
      <c r="L16" s="334">
        <v>63336</v>
      </c>
      <c r="M16" s="41"/>
      <c r="N16" s="89"/>
    </row>
    <row r="17" spans="2:16" ht="20.25" customHeight="1" x14ac:dyDescent="0.25">
      <c r="B17" s="390"/>
      <c r="C17" s="390"/>
      <c r="D17" s="344" t="s">
        <v>82</v>
      </c>
      <c r="E17" s="237">
        <f>907+2922</f>
        <v>3829</v>
      </c>
      <c r="F17" s="158">
        <f>(E17-H17)/H17</f>
        <v>1.5240606460118655</v>
      </c>
      <c r="G17" s="159">
        <f>(E17-I17)/I17</f>
        <v>-5.9213759213759216E-2</v>
      </c>
      <c r="H17" s="228">
        <v>1517</v>
      </c>
      <c r="I17" s="228">
        <v>4070</v>
      </c>
      <c r="J17" s="353">
        <f>1403+18912+29852</f>
        <v>50167</v>
      </c>
      <c r="K17" s="160">
        <f>(J17-L17)/L17</f>
        <v>2.0325213081061477</v>
      </c>
      <c r="L17" s="334">
        <v>16543</v>
      </c>
      <c r="M17" s="41"/>
      <c r="N17" s="89"/>
    </row>
    <row r="18" spans="2:16" ht="20.25" customHeight="1" x14ac:dyDescent="0.25">
      <c r="B18" s="390"/>
      <c r="C18" s="390"/>
      <c r="D18" s="45" t="s">
        <v>180</v>
      </c>
      <c r="E18" s="317">
        <v>667</v>
      </c>
      <c r="F18" s="168" t="e">
        <f>(E18-H18)/H18</f>
        <v>#DIV/0!</v>
      </c>
      <c r="G18" s="169">
        <f>(E18-I18)/I18</f>
        <v>-0.47562893081761004</v>
      </c>
      <c r="H18" s="330">
        <v>0</v>
      </c>
      <c r="I18" s="330">
        <v>1272</v>
      </c>
      <c r="J18" s="237">
        <v>7610</v>
      </c>
      <c r="K18" s="170" t="e">
        <f>(J18-L18)/L18</f>
        <v>#DIV/0!</v>
      </c>
      <c r="L18" s="354">
        <v>0</v>
      </c>
      <c r="M18" s="41"/>
      <c r="N18" s="89"/>
    </row>
    <row r="19" spans="2:16" ht="20.25" customHeight="1" x14ac:dyDescent="0.25">
      <c r="B19" s="390"/>
      <c r="C19" s="388" t="s">
        <v>25</v>
      </c>
      <c r="D19" s="391"/>
      <c r="E19" s="240">
        <f>SUM(E10:E18)</f>
        <v>20010</v>
      </c>
      <c r="F19" s="252">
        <f t="shared" si="0"/>
        <v>-0.12283008942661756</v>
      </c>
      <c r="G19" s="162">
        <f t="shared" si="1"/>
        <v>-0.24419263456090651</v>
      </c>
      <c r="H19" s="231">
        <f>SUM(H10:H18)</f>
        <v>22812</v>
      </c>
      <c r="I19" s="231">
        <f>SUM(I10:I18)</f>
        <v>26475</v>
      </c>
      <c r="J19" s="348">
        <f>SUM(J10:J18)</f>
        <v>219935</v>
      </c>
      <c r="K19" s="160">
        <f t="shared" si="3"/>
        <v>8.9056697202277796E-2</v>
      </c>
      <c r="L19" s="338">
        <f>SUM(L10:L18)</f>
        <v>201950</v>
      </c>
      <c r="M19" s="41"/>
      <c r="N19" s="89"/>
    </row>
    <row r="20" spans="2:16" ht="20.25" customHeight="1" x14ac:dyDescent="0.25">
      <c r="B20" s="46"/>
      <c r="C20" s="47"/>
      <c r="D20" s="43" t="s">
        <v>121</v>
      </c>
      <c r="E20" s="237">
        <f>1121+1299</f>
        <v>2420</v>
      </c>
      <c r="F20" s="158">
        <f>(E20-H20)/H20</f>
        <v>-0.35414998665599146</v>
      </c>
      <c r="G20" s="159">
        <f t="shared" si="1"/>
        <v>-0.21960657852305707</v>
      </c>
      <c r="H20" s="228">
        <v>3747</v>
      </c>
      <c r="I20" s="228">
        <v>3101</v>
      </c>
      <c r="J20" s="237">
        <f>24926+7488</f>
        <v>32414</v>
      </c>
      <c r="K20" s="166">
        <f t="shared" si="3"/>
        <v>-3.7446176688938383E-2</v>
      </c>
      <c r="L20" s="334">
        <v>33675</v>
      </c>
      <c r="M20" s="41"/>
      <c r="N20" s="89"/>
    </row>
    <row r="21" spans="2:16" ht="20.25" customHeight="1" x14ac:dyDescent="0.25">
      <c r="B21" s="46"/>
      <c r="C21" s="42"/>
      <c r="D21" s="43" t="s">
        <v>16</v>
      </c>
      <c r="E21" s="237">
        <f>3375+604</f>
        <v>3979</v>
      </c>
      <c r="F21" s="158">
        <f>(E21-H21)/H21</f>
        <v>-0.3118298166724317</v>
      </c>
      <c r="G21" s="159">
        <f t="shared" si="1"/>
        <v>-0.25276995305164318</v>
      </c>
      <c r="H21" s="359">
        <v>5782</v>
      </c>
      <c r="I21" s="228">
        <v>5325</v>
      </c>
      <c r="J21" s="237">
        <f>38654+8872</f>
        <v>47526</v>
      </c>
      <c r="K21" s="160">
        <f t="shared" si="3"/>
        <v>-0.19647657531235735</v>
      </c>
      <c r="L21" s="334">
        <v>59147</v>
      </c>
      <c r="M21" s="41"/>
      <c r="N21" s="88"/>
      <c r="O21" s="39"/>
      <c r="P21" s="39"/>
    </row>
    <row r="22" spans="2:16" ht="20.25" customHeight="1" x14ac:dyDescent="0.25">
      <c r="B22" s="46"/>
      <c r="C22" s="42"/>
      <c r="D22" s="316" t="s">
        <v>171</v>
      </c>
      <c r="E22" s="317">
        <v>199</v>
      </c>
      <c r="F22" s="168">
        <f>(E22-H22)/H22</f>
        <v>1.2613636363636365</v>
      </c>
      <c r="G22" s="169">
        <f t="shared" ref="G22" si="4">(E22-I22)/I22</f>
        <v>-0.35806451612903228</v>
      </c>
      <c r="H22" s="330">
        <v>88</v>
      </c>
      <c r="I22" s="321">
        <v>310</v>
      </c>
      <c r="J22" s="317">
        <v>1460</v>
      </c>
      <c r="K22" s="170">
        <f>(J22-L22)/L22</f>
        <v>0.90600522193211486</v>
      </c>
      <c r="L22" s="320">
        <v>766</v>
      </c>
      <c r="M22" s="41"/>
      <c r="N22" s="88"/>
      <c r="O22" s="39"/>
      <c r="P22" s="39"/>
    </row>
    <row r="23" spans="2:16" ht="20.25" customHeight="1" x14ac:dyDescent="0.25">
      <c r="B23" s="46"/>
      <c r="C23" s="388" t="s">
        <v>26</v>
      </c>
      <c r="D23" s="391"/>
      <c r="E23" s="240">
        <f>SUM(E20:E22)</f>
        <v>6598</v>
      </c>
      <c r="F23" s="167">
        <f t="shared" si="0"/>
        <v>-0.3139232608921701</v>
      </c>
      <c r="G23" s="159">
        <f t="shared" si="1"/>
        <v>-0.24473443223443223</v>
      </c>
      <c r="H23" s="231">
        <f>SUM(H20:H22)</f>
        <v>9617</v>
      </c>
      <c r="I23" s="231">
        <f>SUM(I20:I22)</f>
        <v>8736</v>
      </c>
      <c r="J23" s="240">
        <f>SUM(J20:J22)</f>
        <v>81400</v>
      </c>
      <c r="K23" s="163">
        <f t="shared" si="3"/>
        <v>-0.13023037141513868</v>
      </c>
      <c r="L23" s="338">
        <f>SUM(L20:L22)</f>
        <v>93588</v>
      </c>
      <c r="M23" s="41"/>
      <c r="N23" s="89"/>
    </row>
    <row r="24" spans="2:16" ht="20.25" customHeight="1" x14ac:dyDescent="0.25">
      <c r="B24" s="46"/>
      <c r="C24" s="47"/>
      <c r="D24" s="40" t="s">
        <v>27</v>
      </c>
      <c r="E24" s="238">
        <f>191+111+209+253</f>
        <v>764</v>
      </c>
      <c r="F24" s="164">
        <f t="shared" si="0"/>
        <v>-0.2321608040201005</v>
      </c>
      <c r="G24" s="165">
        <f t="shared" si="1"/>
        <v>-3.5353535353535352E-2</v>
      </c>
      <c r="H24" s="229">
        <v>995</v>
      </c>
      <c r="I24" s="229">
        <v>792</v>
      </c>
      <c r="J24" s="238">
        <f>1873+1467+1690+2363</f>
        <v>7393</v>
      </c>
      <c r="K24" s="166">
        <f t="shared" si="3"/>
        <v>0.1064052678838671</v>
      </c>
      <c r="L24" s="337">
        <v>6682</v>
      </c>
      <c r="M24" s="41"/>
      <c r="N24" s="35"/>
    </row>
    <row r="25" spans="2:16" ht="20.25" customHeight="1" x14ac:dyDescent="0.25">
      <c r="B25" s="46"/>
      <c r="C25" s="48"/>
      <c r="D25" s="49" t="s">
        <v>11</v>
      </c>
      <c r="E25" s="239">
        <f>495+489+348</f>
        <v>1332</v>
      </c>
      <c r="F25" s="168">
        <f t="shared" si="0"/>
        <v>-0.10903010033444815</v>
      </c>
      <c r="G25" s="169">
        <f t="shared" si="1"/>
        <v>-0.31446217189912506</v>
      </c>
      <c r="H25" s="230">
        <v>1495</v>
      </c>
      <c r="I25" s="230">
        <v>1943</v>
      </c>
      <c r="J25" s="353">
        <f>5697+5895+4033</f>
        <v>15625</v>
      </c>
      <c r="K25" s="170">
        <f t="shared" si="3"/>
        <v>-8.5030776064471091E-3</v>
      </c>
      <c r="L25" s="320">
        <v>15759</v>
      </c>
      <c r="M25" s="41"/>
      <c r="N25" s="35"/>
    </row>
    <row r="26" spans="2:16" ht="20.25" customHeight="1" x14ac:dyDescent="0.25">
      <c r="B26" s="46"/>
      <c r="C26" s="388" t="s">
        <v>28</v>
      </c>
      <c r="D26" s="391"/>
      <c r="E26" s="237">
        <f>SUM(E24:E25)</f>
        <v>2096</v>
      </c>
      <c r="F26" s="167">
        <f t="shared" si="0"/>
        <v>-0.15823293172690764</v>
      </c>
      <c r="G26" s="159">
        <f t="shared" si="1"/>
        <v>-0.2336380255941499</v>
      </c>
      <c r="H26" s="228">
        <f>SUM(H24:H25)</f>
        <v>2490</v>
      </c>
      <c r="I26" s="228">
        <f>SUM(I24:I25)</f>
        <v>2735</v>
      </c>
      <c r="J26" s="348">
        <f>SUM(J24:J25)</f>
        <v>23018</v>
      </c>
      <c r="K26" s="160">
        <f t="shared" si="3"/>
        <v>2.5711866672608174E-2</v>
      </c>
      <c r="L26" s="339">
        <f>SUM(L24:L25)</f>
        <v>22441</v>
      </c>
      <c r="M26" s="41"/>
      <c r="N26" s="89"/>
    </row>
    <row r="27" spans="2:16" ht="20.25" customHeight="1" x14ac:dyDescent="0.25">
      <c r="B27" s="97"/>
      <c r="C27" s="98"/>
      <c r="D27" s="349" t="s">
        <v>65</v>
      </c>
      <c r="E27" s="350">
        <v>127</v>
      </c>
      <c r="F27" s="345">
        <f t="shared" si="0"/>
        <v>-5.2238805970149252E-2</v>
      </c>
      <c r="G27" s="165">
        <f t="shared" si="1"/>
        <v>-0.26589595375722541</v>
      </c>
      <c r="H27" s="229">
        <v>134</v>
      </c>
      <c r="I27" s="229">
        <v>173</v>
      </c>
      <c r="J27" s="238">
        <v>1568</v>
      </c>
      <c r="K27" s="166">
        <f t="shared" ref="K27:K33" si="5">(J27-L27)/L27</f>
        <v>-0.21087065928535481</v>
      </c>
      <c r="L27" s="337">
        <v>1987</v>
      </c>
      <c r="M27" s="41"/>
      <c r="N27" s="89"/>
    </row>
    <row r="28" spans="2:16" ht="20.25" customHeight="1" x14ac:dyDescent="0.25">
      <c r="B28" s="97"/>
      <c r="C28" s="109"/>
      <c r="D28" s="344" t="s">
        <v>67</v>
      </c>
      <c r="E28" s="351">
        <f>2940+51</f>
        <v>2991</v>
      </c>
      <c r="F28" s="346">
        <f t="shared" si="0"/>
        <v>-0.24297646165527714</v>
      </c>
      <c r="G28" s="159">
        <f t="shared" si="1"/>
        <v>-0.10822898032200358</v>
      </c>
      <c r="H28" s="228">
        <v>3951</v>
      </c>
      <c r="I28" s="228">
        <v>3354</v>
      </c>
      <c r="J28" s="353">
        <f>33197+961</f>
        <v>34158</v>
      </c>
      <c r="K28" s="160">
        <f t="shared" si="5"/>
        <v>-0.1203419947979707</v>
      </c>
      <c r="L28" s="334">
        <v>38831</v>
      </c>
      <c r="M28" s="41"/>
      <c r="N28" s="89"/>
    </row>
    <row r="29" spans="2:16" ht="20.25" customHeight="1" x14ac:dyDescent="0.25">
      <c r="B29" s="97"/>
      <c r="C29" s="47"/>
      <c r="D29" s="344" t="s">
        <v>80</v>
      </c>
      <c r="E29" s="352">
        <v>492</v>
      </c>
      <c r="F29" s="219">
        <f t="shared" si="0"/>
        <v>-0.10545454545454545</v>
      </c>
      <c r="G29" s="159">
        <f t="shared" si="1"/>
        <v>-0.14434782608695651</v>
      </c>
      <c r="H29" s="228">
        <v>550</v>
      </c>
      <c r="I29" s="228">
        <v>575</v>
      </c>
      <c r="J29" s="353">
        <v>6155</v>
      </c>
      <c r="K29" s="160">
        <f t="shared" si="5"/>
        <v>-7.346078578955291E-2</v>
      </c>
      <c r="L29" s="334">
        <v>6643</v>
      </c>
      <c r="M29" s="41"/>
      <c r="N29" s="89"/>
    </row>
    <row r="30" spans="2:16" ht="20.25" customHeight="1" x14ac:dyDescent="0.25">
      <c r="B30" s="97"/>
      <c r="C30" s="47"/>
      <c r="D30" s="344" t="s">
        <v>135</v>
      </c>
      <c r="E30" s="352">
        <v>88</v>
      </c>
      <c r="F30" s="219">
        <f t="shared" si="0"/>
        <v>1.0952380952380953</v>
      </c>
      <c r="G30" s="159">
        <f t="shared" si="1"/>
        <v>8.6419753086419748E-2</v>
      </c>
      <c r="H30" s="333">
        <v>42</v>
      </c>
      <c r="I30" s="228">
        <v>81</v>
      </c>
      <c r="J30" s="353">
        <v>703</v>
      </c>
      <c r="K30" s="160">
        <f t="shared" si="5"/>
        <v>0.4405737704918033</v>
      </c>
      <c r="L30" s="335">
        <v>488</v>
      </c>
      <c r="M30" s="41"/>
      <c r="N30" s="89"/>
    </row>
    <row r="31" spans="2:16" ht="20.25" customHeight="1" x14ac:dyDescent="0.25">
      <c r="B31" s="97"/>
      <c r="C31" s="47"/>
      <c r="D31" s="344" t="s">
        <v>111</v>
      </c>
      <c r="E31" s="352">
        <f>2435+77</f>
        <v>2512</v>
      </c>
      <c r="F31" s="219">
        <f t="shared" si="0"/>
        <v>-0.36405063291139239</v>
      </c>
      <c r="G31" s="159">
        <f t="shared" si="1"/>
        <v>-9.9964170548190609E-2</v>
      </c>
      <c r="H31" s="228">
        <v>3950</v>
      </c>
      <c r="I31" s="228">
        <v>2791</v>
      </c>
      <c r="J31" s="353">
        <f>26917+1046</f>
        <v>27963</v>
      </c>
      <c r="K31" s="160">
        <f t="shared" si="5"/>
        <v>-2.6222315085666529E-2</v>
      </c>
      <c r="L31" s="334">
        <v>28716</v>
      </c>
      <c r="M31" s="41"/>
      <c r="N31" s="89"/>
    </row>
    <row r="32" spans="2:16" ht="20.25" customHeight="1" x14ac:dyDescent="0.25">
      <c r="B32" s="97"/>
      <c r="C32" s="47"/>
      <c r="D32" s="316" t="s">
        <v>98</v>
      </c>
      <c r="E32" s="352">
        <v>2850</v>
      </c>
      <c r="F32" s="347">
        <f t="shared" si="0"/>
        <v>0.40532544378698226</v>
      </c>
      <c r="G32" s="169">
        <f t="shared" si="1"/>
        <v>0.11154446177847113</v>
      </c>
      <c r="H32" s="230">
        <v>2028</v>
      </c>
      <c r="I32" s="230">
        <v>2564</v>
      </c>
      <c r="J32" s="317">
        <v>26703</v>
      </c>
      <c r="K32" s="170">
        <f t="shared" si="5"/>
        <v>-0.20165630232001913</v>
      </c>
      <c r="L32" s="320">
        <v>33448</v>
      </c>
      <c r="M32" s="41"/>
      <c r="N32" s="89"/>
    </row>
    <row r="33" spans="2:14" ht="20.25" customHeight="1" x14ac:dyDescent="0.25">
      <c r="B33" s="97"/>
      <c r="C33" s="388" t="s">
        <v>44</v>
      </c>
      <c r="D33" s="391"/>
      <c r="E33" s="348">
        <f>SUM(E27:E32)</f>
        <v>9060</v>
      </c>
      <c r="F33" s="167">
        <f t="shared" si="0"/>
        <v>-0.14969497888315345</v>
      </c>
      <c r="G33" s="159">
        <f t="shared" si="1"/>
        <v>-5.011532816104005E-2</v>
      </c>
      <c r="H33" s="231">
        <f>SUM(H27:H32)</f>
        <v>10655</v>
      </c>
      <c r="I33" s="231">
        <f>SUM(I27:I32)</f>
        <v>9538</v>
      </c>
      <c r="J33" s="348">
        <f>SUM(J27:J32)</f>
        <v>97250</v>
      </c>
      <c r="K33" s="253">
        <f t="shared" si="5"/>
        <v>-0.11681636137422466</v>
      </c>
      <c r="L33" s="338">
        <f>SUM(L27:L32)</f>
        <v>110113</v>
      </c>
      <c r="M33" s="41" t="s">
        <v>158</v>
      </c>
      <c r="N33" s="89"/>
    </row>
    <row r="34" spans="2:14" ht="20.25" customHeight="1" x14ac:dyDescent="0.25">
      <c r="B34" s="116" t="s">
        <v>29</v>
      </c>
      <c r="C34" s="112"/>
      <c r="D34" s="113"/>
      <c r="E34" s="187">
        <f>SUM(E9,E19,E23,E26,E33)</f>
        <v>53822</v>
      </c>
      <c r="F34" s="114">
        <f t="shared" si="0"/>
        <v>-0.17084668474242051</v>
      </c>
      <c r="G34" s="115">
        <f t="shared" si="1"/>
        <v>-0.18452750715898245</v>
      </c>
      <c r="H34" s="308">
        <f>SUM(H9,H19,H23,H26,H33)</f>
        <v>64912</v>
      </c>
      <c r="I34" s="308">
        <f>SUM(I9,I19,I23,I26,I33)</f>
        <v>66001</v>
      </c>
      <c r="J34" s="187">
        <f>SUM(J9,J19,J23,J26,J33)</f>
        <v>589280</v>
      </c>
      <c r="K34" s="115">
        <f>(J34-L34)/L34</f>
        <v>1.5095165171734851E-2</v>
      </c>
      <c r="L34" s="243">
        <f>SUM(L9,L19,L23,L26,L33)</f>
        <v>580517</v>
      </c>
      <c r="M34" s="41"/>
      <c r="N34" s="89"/>
    </row>
    <row r="35" spans="2:14" ht="20.25" customHeight="1" x14ac:dyDescent="0.25">
      <c r="B35" s="50" t="s">
        <v>30</v>
      </c>
      <c r="C35" s="51"/>
      <c r="D35" s="195"/>
      <c r="E35" s="192">
        <v>297931</v>
      </c>
      <c r="F35" s="193">
        <f>(E35-H35)/H35</f>
        <v>-4.815897509624447E-2</v>
      </c>
      <c r="G35" s="194">
        <f t="shared" si="1"/>
        <v>-9.3073521098659927E-3</v>
      </c>
      <c r="H35" s="241">
        <v>313005</v>
      </c>
      <c r="I35" s="241">
        <v>300730</v>
      </c>
      <c r="J35" s="192">
        <v>2867819</v>
      </c>
      <c r="K35" s="194">
        <f>(J35-L35)/L35</f>
        <v>-1.8450325778248038E-3</v>
      </c>
      <c r="L35" s="299">
        <v>2873120</v>
      </c>
      <c r="M35" s="41"/>
      <c r="N35" s="89"/>
    </row>
    <row r="36" spans="2:14" ht="4.5" customHeight="1" x14ac:dyDescent="0.25">
      <c r="B36" s="137"/>
      <c r="C36" s="52"/>
      <c r="D36" s="52"/>
      <c r="E36" s="188"/>
      <c r="F36" s="219"/>
      <c r="G36" s="219"/>
      <c r="H36" s="35"/>
      <c r="I36" s="35"/>
      <c r="J36" s="226"/>
      <c r="K36" s="227"/>
      <c r="L36" s="35"/>
      <c r="M36" s="41"/>
      <c r="N36" s="35"/>
    </row>
    <row r="37" spans="2:14" ht="30" customHeight="1" thickBot="1" x14ac:dyDescent="0.3">
      <c r="B37" s="50" t="s">
        <v>31</v>
      </c>
      <c r="C37" s="53"/>
      <c r="D37" s="51"/>
      <c r="E37" s="220">
        <f>SUM(E34:E35)</f>
        <v>351753</v>
      </c>
      <c r="F37" s="221">
        <f>(E37-H37)/H37</f>
        <v>-6.923213298158061E-2</v>
      </c>
      <c r="G37" s="222">
        <f>(E37-I37)/I37</f>
        <v>-4.0841925007703193E-2</v>
      </c>
      <c r="H37" s="250">
        <f>SUM(H34:H35)</f>
        <v>377917</v>
      </c>
      <c r="I37" s="322">
        <f>SUM(I34:I35)</f>
        <v>366731</v>
      </c>
      <c r="J37" s="220">
        <f>SUM(J34:J35)</f>
        <v>3457099</v>
      </c>
      <c r="K37" s="222">
        <f>(J37-L37)/L37</f>
        <v>1.0024215052131999E-3</v>
      </c>
      <c r="L37" s="243">
        <f>SUM(L34:L35)</f>
        <v>3453637</v>
      </c>
      <c r="M37" s="242"/>
      <c r="N37" s="89"/>
    </row>
    <row r="38" spans="2:14" ht="11.25" customHeight="1" x14ac:dyDescent="0.25">
      <c r="B38" s="54"/>
      <c r="C38" s="54"/>
      <c r="D38" s="54"/>
      <c r="H38" s="251"/>
      <c r="L38" s="41"/>
    </row>
    <row r="39" spans="2:14" s="81" customFormat="1" ht="18.75" customHeight="1" thickBot="1" x14ac:dyDescent="0.3">
      <c r="B39" s="171" t="s">
        <v>109</v>
      </c>
      <c r="D39" s="172"/>
      <c r="F39" s="173"/>
      <c r="G39" s="174"/>
      <c r="K39" s="174"/>
    </row>
    <row r="40" spans="2:14" s="86" customFormat="1" ht="21" customHeight="1" x14ac:dyDescent="0.25">
      <c r="B40" s="404" t="s">
        <v>32</v>
      </c>
      <c r="C40" s="405"/>
      <c r="D40" s="405"/>
      <c r="E40" s="323" t="s">
        <v>175</v>
      </c>
      <c r="F40" s="408"/>
      <c r="G40" s="409"/>
      <c r="H40" s="325" t="s">
        <v>161</v>
      </c>
      <c r="I40" s="326" t="s">
        <v>175</v>
      </c>
      <c r="J40" s="410" t="s">
        <v>184</v>
      </c>
      <c r="K40" s="175"/>
      <c r="L40" s="402" t="s">
        <v>185</v>
      </c>
    </row>
    <row r="41" spans="2:14" s="86" customFormat="1" ht="21" customHeight="1" x14ac:dyDescent="0.25">
      <c r="B41" s="406"/>
      <c r="C41" s="407"/>
      <c r="D41" s="407"/>
      <c r="E41" s="324">
        <v>10</v>
      </c>
      <c r="F41" s="176" t="s">
        <v>33</v>
      </c>
      <c r="G41" s="177" t="s">
        <v>170</v>
      </c>
      <c r="H41" s="327">
        <f>E41</f>
        <v>10</v>
      </c>
      <c r="I41" s="328">
        <v>9</v>
      </c>
      <c r="J41" s="411"/>
      <c r="K41" s="177" t="s">
        <v>34</v>
      </c>
      <c r="L41" s="403"/>
      <c r="M41" s="245"/>
    </row>
    <row r="42" spans="2:14" s="84" customFormat="1" ht="21" customHeight="1" x14ac:dyDescent="0.25">
      <c r="B42" s="392" t="s">
        <v>19</v>
      </c>
      <c r="C42" s="393"/>
      <c r="D42" s="393"/>
      <c r="E42" s="258">
        <f>SUM(E43:E50)</f>
        <v>14640</v>
      </c>
      <c r="F42" s="259">
        <f t="shared" ref="F42:F49" si="6">(E42-H42)/H42</f>
        <v>-0.14630590704997376</v>
      </c>
      <c r="G42" s="178">
        <f t="shared" ref="G42:G49" si="7">(E42-I42)/I42</f>
        <v>-0.13316359760791047</v>
      </c>
      <c r="H42" s="232">
        <f>SUM(H43:H50)</f>
        <v>17149</v>
      </c>
      <c r="I42" s="258">
        <f>SUM(I43:I50)</f>
        <v>16889</v>
      </c>
      <c r="J42" s="258">
        <f>SUM(J43:J50)</f>
        <v>150708</v>
      </c>
      <c r="K42" s="263">
        <f t="shared" ref="K42:K47" si="8">(J42-L42)/L42</f>
        <v>0.21266837251967363</v>
      </c>
      <c r="L42" s="232">
        <f>SUM(L43:L50)</f>
        <v>124278</v>
      </c>
      <c r="M42" s="246"/>
    </row>
    <row r="43" spans="2:14" s="84" customFormat="1" ht="18" customHeight="1" x14ac:dyDescent="0.25">
      <c r="B43" s="180"/>
      <c r="C43" s="377" t="s">
        <v>20</v>
      </c>
      <c r="D43" s="375"/>
      <c r="E43" s="223">
        <v>1090</v>
      </c>
      <c r="F43" s="260">
        <f t="shared" si="6"/>
        <v>1.1083172147001934</v>
      </c>
      <c r="G43" s="182">
        <f t="shared" si="7"/>
        <v>0.13187954309449637</v>
      </c>
      <c r="H43" s="233">
        <v>517</v>
      </c>
      <c r="I43" s="223">
        <v>963</v>
      </c>
      <c r="J43" s="223">
        <v>12859</v>
      </c>
      <c r="K43" s="264">
        <f t="shared" si="8"/>
        <v>1.8626447016918968</v>
      </c>
      <c r="L43" s="233">
        <v>4492</v>
      </c>
      <c r="M43" s="246"/>
    </row>
    <row r="44" spans="2:14" s="84" customFormat="1" ht="18" customHeight="1" x14ac:dyDescent="0.25">
      <c r="B44" s="180"/>
      <c r="C44" s="377" t="s">
        <v>21</v>
      </c>
      <c r="D44" s="375"/>
      <c r="E44" s="223">
        <v>691</v>
      </c>
      <c r="F44" s="260">
        <f t="shared" si="6"/>
        <v>-0.42127303182579562</v>
      </c>
      <c r="G44" s="182">
        <f t="shared" si="7"/>
        <v>-0.16038882138517618</v>
      </c>
      <c r="H44" s="233">
        <v>1194</v>
      </c>
      <c r="I44" s="223">
        <v>823</v>
      </c>
      <c r="J44" s="223">
        <v>7191</v>
      </c>
      <c r="K44" s="264">
        <f t="shared" si="8"/>
        <v>-2.4155244945040032E-2</v>
      </c>
      <c r="L44" s="233">
        <v>7369</v>
      </c>
      <c r="M44" s="246"/>
    </row>
    <row r="45" spans="2:14" s="84" customFormat="1" ht="18" customHeight="1" x14ac:dyDescent="0.25">
      <c r="B45" s="180"/>
      <c r="C45" s="377" t="s">
        <v>23</v>
      </c>
      <c r="D45" s="375"/>
      <c r="E45" s="223">
        <v>2733</v>
      </c>
      <c r="F45" s="260">
        <f t="shared" si="6"/>
        <v>-0.39049955396966995</v>
      </c>
      <c r="G45" s="182">
        <f t="shared" si="7"/>
        <v>-1.2644508670520232E-2</v>
      </c>
      <c r="H45" s="233">
        <v>4484</v>
      </c>
      <c r="I45" s="223">
        <v>2768</v>
      </c>
      <c r="J45" s="223">
        <v>28937</v>
      </c>
      <c r="K45" s="264">
        <f t="shared" si="8"/>
        <v>-0.10147492625368731</v>
      </c>
      <c r="L45" s="233">
        <v>32205</v>
      </c>
      <c r="M45" s="246"/>
    </row>
    <row r="46" spans="2:14" s="84" customFormat="1" ht="18" customHeight="1" x14ac:dyDescent="0.25">
      <c r="B46" s="180"/>
      <c r="C46" s="377" t="s">
        <v>63</v>
      </c>
      <c r="D46" s="375"/>
      <c r="E46" s="223">
        <v>726</v>
      </c>
      <c r="F46" s="260">
        <f>(E46-H46)/H46</f>
        <v>-0.1037037037037037</v>
      </c>
      <c r="G46" s="182">
        <f>(E46-I46)/I46</f>
        <v>-1.7591339648173207E-2</v>
      </c>
      <c r="H46" s="233">
        <v>810</v>
      </c>
      <c r="I46" s="223">
        <v>739</v>
      </c>
      <c r="J46" s="223">
        <v>6939</v>
      </c>
      <c r="K46" s="264">
        <f t="shared" si="8"/>
        <v>0.10493630573248408</v>
      </c>
      <c r="L46" s="233">
        <v>6280</v>
      </c>
      <c r="M46" s="246"/>
    </row>
    <row r="47" spans="2:14" s="84" customFormat="1" ht="18" customHeight="1" x14ac:dyDescent="0.25">
      <c r="B47" s="180"/>
      <c r="C47" s="398" t="s">
        <v>43</v>
      </c>
      <c r="D47" s="399"/>
      <c r="E47" s="303">
        <v>1572</v>
      </c>
      <c r="F47" s="261">
        <f>(E47-H47)/H47</f>
        <v>-0.55467422096317276</v>
      </c>
      <c r="G47" s="196">
        <f>(E47-I47)/I47</f>
        <v>-0.40182648401826482</v>
      </c>
      <c r="H47" s="331">
        <v>3530</v>
      </c>
      <c r="I47" s="303">
        <v>2628</v>
      </c>
      <c r="J47" s="223">
        <v>20020</v>
      </c>
      <c r="K47" s="265">
        <f t="shared" si="8"/>
        <v>-8.5343567251461985E-2</v>
      </c>
      <c r="L47" s="331">
        <v>21888</v>
      </c>
      <c r="M47" s="246"/>
    </row>
    <row r="48" spans="2:14" s="84" customFormat="1" ht="18" customHeight="1" x14ac:dyDescent="0.25">
      <c r="B48" s="180"/>
      <c r="C48" s="398" t="s">
        <v>5</v>
      </c>
      <c r="D48" s="399"/>
      <c r="E48" s="223">
        <v>3607</v>
      </c>
      <c r="F48" s="181">
        <f t="shared" si="6"/>
        <v>-0.37171224525344015</v>
      </c>
      <c r="G48" s="182">
        <f t="shared" si="7"/>
        <v>-0.18761261261261261</v>
      </c>
      <c r="H48" s="331">
        <v>5741</v>
      </c>
      <c r="I48" s="223">
        <v>4440</v>
      </c>
      <c r="J48" s="223">
        <v>37422</v>
      </c>
      <c r="K48" s="183">
        <f>(J48-L48)/L48</f>
        <v>-0.17306757413709287</v>
      </c>
      <c r="L48" s="331">
        <v>45254</v>
      </c>
      <c r="M48" s="246"/>
    </row>
    <row r="49" spans="2:13" s="84" customFormat="1" ht="18" customHeight="1" x14ac:dyDescent="0.25">
      <c r="B49" s="180"/>
      <c r="C49" s="375" t="s">
        <v>82</v>
      </c>
      <c r="D49" s="415"/>
      <c r="E49" s="223">
        <v>2922</v>
      </c>
      <c r="F49" s="181" t="e">
        <f t="shared" si="6"/>
        <v>#DIV/0!</v>
      </c>
      <c r="G49" s="182">
        <f t="shared" si="7"/>
        <v>-0.10368098159509202</v>
      </c>
      <c r="H49" s="357">
        <v>0</v>
      </c>
      <c r="I49" s="223">
        <v>3260</v>
      </c>
      <c r="J49" s="223">
        <v>29852</v>
      </c>
      <c r="K49" s="183" t="e">
        <f>(J49-L49)/L49</f>
        <v>#DIV/0!</v>
      </c>
      <c r="L49" s="233">
        <v>0</v>
      </c>
      <c r="M49" s="83"/>
    </row>
    <row r="50" spans="2:13" s="84" customFormat="1" ht="18" customHeight="1" x14ac:dyDescent="0.25">
      <c r="B50" s="184"/>
      <c r="C50" s="413" t="s">
        <v>119</v>
      </c>
      <c r="D50" s="414"/>
      <c r="E50" s="311">
        <v>1299</v>
      </c>
      <c r="F50" s="312">
        <f t="shared" ref="F50" si="9">(E50-H50)/H50</f>
        <v>0.48797250859106528</v>
      </c>
      <c r="G50" s="253">
        <f t="shared" ref="G50" si="10">(E50-I50)/I50</f>
        <v>2.4447949526813881E-2</v>
      </c>
      <c r="H50" s="357">
        <v>873</v>
      </c>
      <c r="I50" s="311">
        <v>1268</v>
      </c>
      <c r="J50" s="355">
        <v>7488</v>
      </c>
      <c r="K50" s="313">
        <f>(J50-L50)/L50</f>
        <v>0.10279823269513991</v>
      </c>
      <c r="L50" s="356">
        <v>6790</v>
      </c>
      <c r="M50" s="83"/>
    </row>
    <row r="51" spans="2:13" s="84" customFormat="1" ht="4.5" customHeight="1" x14ac:dyDescent="0.25">
      <c r="B51" s="82"/>
      <c r="D51" s="85"/>
      <c r="E51" s="256"/>
      <c r="F51" s="211"/>
      <c r="G51" s="211"/>
      <c r="H51" s="204"/>
      <c r="I51" s="256"/>
      <c r="J51" s="256"/>
      <c r="K51" s="244"/>
      <c r="L51" s="204"/>
      <c r="M51" s="83"/>
    </row>
    <row r="52" spans="2:13" s="84" customFormat="1" ht="21" customHeight="1" x14ac:dyDescent="0.25">
      <c r="B52" s="392" t="s">
        <v>51</v>
      </c>
      <c r="C52" s="393"/>
      <c r="D52" s="393"/>
      <c r="E52" s="307">
        <f>SUM(E53:E62)</f>
        <v>4554</v>
      </c>
      <c r="F52" s="262">
        <f t="shared" ref="F52:F60" si="11">(E52-H52)/H52</f>
        <v>-0.17260174418604651</v>
      </c>
      <c r="G52" s="178">
        <f t="shared" ref="G52:G60" si="12">(E52-I52)/I52</f>
        <v>-0.39449541284403672</v>
      </c>
      <c r="H52" s="205">
        <f>SUM(H53:H62)</f>
        <v>5504</v>
      </c>
      <c r="I52" s="307">
        <f>SUM(I53:I62)</f>
        <v>7521</v>
      </c>
      <c r="J52" s="307">
        <f>SUM(J53:J62)</f>
        <v>50263</v>
      </c>
      <c r="K52" s="179">
        <f t="shared" ref="K52:K60" si="13">(J52-L52)/L52</f>
        <v>0.3791088185260385</v>
      </c>
      <c r="L52" s="205">
        <f>SUM(L53:L62)</f>
        <v>36446</v>
      </c>
      <c r="M52" s="83"/>
    </row>
    <row r="53" spans="2:13" s="84" customFormat="1" ht="18" customHeight="1" x14ac:dyDescent="0.25">
      <c r="B53" s="180"/>
      <c r="C53" s="375" t="s">
        <v>131</v>
      </c>
      <c r="D53" s="412"/>
      <c r="E53" s="223">
        <v>971</v>
      </c>
      <c r="F53" s="181">
        <f t="shared" si="11"/>
        <v>-0.55580969807868252</v>
      </c>
      <c r="G53" s="254">
        <f t="shared" si="12"/>
        <v>1.0309278350515464E-3</v>
      </c>
      <c r="H53" s="223">
        <v>2186</v>
      </c>
      <c r="I53" s="223">
        <v>970</v>
      </c>
      <c r="J53" s="223">
        <v>7567</v>
      </c>
      <c r="K53" s="183">
        <f t="shared" si="13"/>
        <v>0.3275438596491228</v>
      </c>
      <c r="L53" s="233">
        <v>5700</v>
      </c>
      <c r="M53" s="83"/>
    </row>
    <row r="54" spans="2:13" s="84" customFormat="1" ht="18" customHeight="1" x14ac:dyDescent="0.25">
      <c r="B54" s="180"/>
      <c r="C54" s="375" t="s">
        <v>180</v>
      </c>
      <c r="D54" s="412"/>
      <c r="E54" s="223">
        <v>667</v>
      </c>
      <c r="F54" s="181" t="e">
        <f t="shared" si="11"/>
        <v>#DIV/0!</v>
      </c>
      <c r="G54" s="254">
        <f t="shared" si="12"/>
        <v>-0.47562893081761004</v>
      </c>
      <c r="H54" s="223">
        <v>0</v>
      </c>
      <c r="I54" s="223">
        <v>1272</v>
      </c>
      <c r="J54" s="223">
        <v>7610</v>
      </c>
      <c r="K54" s="183" t="e">
        <f t="shared" si="13"/>
        <v>#DIV/0!</v>
      </c>
      <c r="L54" s="233">
        <v>0</v>
      </c>
      <c r="M54" s="83"/>
    </row>
    <row r="55" spans="2:13" s="84" customFormat="1" ht="18" customHeight="1" x14ac:dyDescent="0.25">
      <c r="B55" s="180"/>
      <c r="C55" s="375" t="s">
        <v>145</v>
      </c>
      <c r="D55" s="412"/>
      <c r="E55" s="223">
        <f>327+40</f>
        <v>367</v>
      </c>
      <c r="F55" s="181">
        <f t="shared" ref="F55" si="14">(E55-H55)/H55</f>
        <v>-0.57621247113163976</v>
      </c>
      <c r="G55" s="254">
        <f t="shared" ref="G55" si="15">(E55-I55)/I55</f>
        <v>-0.44140030441400302</v>
      </c>
      <c r="H55" s="223">
        <v>866</v>
      </c>
      <c r="I55" s="223">
        <v>657</v>
      </c>
      <c r="J55" s="223">
        <f>4784+40</f>
        <v>4824</v>
      </c>
      <c r="K55" s="183">
        <f t="shared" ref="K55" si="16">(J55-L55)/L55</f>
        <v>0.19346857991093519</v>
      </c>
      <c r="L55" s="233">
        <v>4042</v>
      </c>
      <c r="M55" s="83"/>
    </row>
    <row r="56" spans="2:13" s="84" customFormat="1" ht="18" customHeight="1" x14ac:dyDescent="0.25">
      <c r="B56" s="180"/>
      <c r="C56" s="375" t="s">
        <v>120</v>
      </c>
      <c r="D56" s="412"/>
      <c r="E56" s="223">
        <f>1098+11</f>
        <v>1109</v>
      </c>
      <c r="F56" s="181">
        <f t="shared" si="11"/>
        <v>4.2293233082706765E-2</v>
      </c>
      <c r="G56" s="182">
        <f t="shared" si="12"/>
        <v>-0.51123843102688404</v>
      </c>
      <c r="H56" s="223">
        <v>1064</v>
      </c>
      <c r="I56" s="223">
        <v>2269</v>
      </c>
      <c r="J56" s="223">
        <f>13155+264</f>
        <v>13419</v>
      </c>
      <c r="K56" s="183">
        <f>(J56-L56)/L56</f>
        <v>8.6558704453441299E-2</v>
      </c>
      <c r="L56" s="233">
        <v>12350</v>
      </c>
      <c r="M56" s="83"/>
    </row>
    <row r="57" spans="2:13" s="84" customFormat="1" ht="18" customHeight="1" x14ac:dyDescent="0.25">
      <c r="B57" s="180"/>
      <c r="C57" s="375" t="s">
        <v>126</v>
      </c>
      <c r="D57" s="376"/>
      <c r="E57" s="223">
        <v>51</v>
      </c>
      <c r="F57" s="181">
        <f t="shared" si="11"/>
        <v>-0.60465116279069764</v>
      </c>
      <c r="G57" s="182">
        <f t="shared" si="12"/>
        <v>-0.67307692307692313</v>
      </c>
      <c r="H57" s="223">
        <v>129</v>
      </c>
      <c r="I57" s="223">
        <v>156</v>
      </c>
      <c r="J57" s="223">
        <v>961</v>
      </c>
      <c r="K57" s="183">
        <f>(J57-L57)/L57</f>
        <v>1.9478527607361964</v>
      </c>
      <c r="L57" s="233">
        <v>326</v>
      </c>
      <c r="M57" s="83"/>
    </row>
    <row r="58" spans="2:13" s="84" customFormat="1" ht="18" customHeight="1" x14ac:dyDescent="0.25">
      <c r="B58" s="180"/>
      <c r="C58" s="375" t="s">
        <v>135</v>
      </c>
      <c r="D58" s="376"/>
      <c r="E58" s="223">
        <v>88</v>
      </c>
      <c r="F58" s="181">
        <f t="shared" si="11"/>
        <v>1.0952380952380953</v>
      </c>
      <c r="G58" s="182">
        <f t="shared" si="12"/>
        <v>8.6419753086419748E-2</v>
      </c>
      <c r="H58" s="223">
        <v>42</v>
      </c>
      <c r="I58" s="223">
        <v>81</v>
      </c>
      <c r="J58" s="223">
        <v>703</v>
      </c>
      <c r="K58" s="183">
        <f t="shared" si="13"/>
        <v>0.4405737704918033</v>
      </c>
      <c r="L58" s="233">
        <v>488</v>
      </c>
      <c r="M58" s="83"/>
    </row>
    <row r="59" spans="2:13" s="84" customFormat="1" ht="18" customHeight="1" x14ac:dyDescent="0.25">
      <c r="B59" s="180"/>
      <c r="C59" s="375" t="s">
        <v>111</v>
      </c>
      <c r="D59" s="376"/>
      <c r="E59" s="223">
        <v>77</v>
      </c>
      <c r="F59" s="181">
        <f t="shared" si="11"/>
        <v>1.6551724137931034</v>
      </c>
      <c r="G59" s="182">
        <f t="shared" si="12"/>
        <v>-0.23762376237623761</v>
      </c>
      <c r="H59" s="223">
        <v>29</v>
      </c>
      <c r="I59" s="223">
        <v>101</v>
      </c>
      <c r="J59" s="223">
        <v>1046</v>
      </c>
      <c r="K59" s="183">
        <f t="shared" si="13"/>
        <v>1.3558558558558558</v>
      </c>
      <c r="L59" s="233">
        <v>444</v>
      </c>
      <c r="M59" s="83"/>
    </row>
    <row r="60" spans="2:13" s="84" customFormat="1" ht="18" customHeight="1" x14ac:dyDescent="0.25">
      <c r="B60" s="180"/>
      <c r="C60" s="377" t="s">
        <v>63</v>
      </c>
      <c r="D60" s="375"/>
      <c r="E60" s="223">
        <v>421</v>
      </c>
      <c r="F60" s="181">
        <f t="shared" si="11"/>
        <v>1.2275132275132274</v>
      </c>
      <c r="G60" s="182">
        <f t="shared" si="12"/>
        <v>-0.40028490028490027</v>
      </c>
      <c r="H60" s="223">
        <v>189</v>
      </c>
      <c r="I60" s="223">
        <v>702</v>
      </c>
      <c r="J60" s="223">
        <v>3801</v>
      </c>
      <c r="K60" s="183">
        <f t="shared" si="13"/>
        <v>0.40103206782159972</v>
      </c>
      <c r="L60" s="233">
        <v>2713</v>
      </c>
      <c r="M60" s="83"/>
    </row>
    <row r="61" spans="2:13" s="84" customFormat="1" ht="18" customHeight="1" x14ac:dyDescent="0.25">
      <c r="B61" s="180"/>
      <c r="C61" s="398" t="s">
        <v>9</v>
      </c>
      <c r="D61" s="399"/>
      <c r="E61" s="303">
        <v>604</v>
      </c>
      <c r="F61" s="181">
        <f t="shared" ref="F61" si="17">(E61-H61)/H61</f>
        <v>-0.33699231613611413</v>
      </c>
      <c r="G61" s="182">
        <f t="shared" ref="G61" si="18">(E61-I61)/I61</f>
        <v>-0.39780658025922233</v>
      </c>
      <c r="H61" s="303">
        <v>911</v>
      </c>
      <c r="I61" s="303">
        <v>1003</v>
      </c>
      <c r="J61" s="223">
        <v>8872</v>
      </c>
      <c r="K61" s="183">
        <f t="shared" ref="K61" si="19">(J61-L61)/L61</f>
        <v>-7.7466985546428196E-2</v>
      </c>
      <c r="L61" s="331">
        <v>9617</v>
      </c>
      <c r="M61" s="83"/>
    </row>
    <row r="62" spans="2:13" s="84" customFormat="1" ht="18" customHeight="1" x14ac:dyDescent="0.25">
      <c r="B62" s="184"/>
      <c r="C62" s="400" t="s">
        <v>171</v>
      </c>
      <c r="D62" s="401"/>
      <c r="E62" s="224">
        <v>199</v>
      </c>
      <c r="F62" s="318">
        <f t="shared" ref="F62" si="20">(E62-H62)/H62</f>
        <v>1.2613636363636365</v>
      </c>
      <c r="G62" s="253">
        <f t="shared" ref="G62" si="21">(E62-I62)/I62</f>
        <v>-0.35806451612903228</v>
      </c>
      <c r="H62" s="329">
        <v>88</v>
      </c>
      <c r="I62" s="224">
        <v>310</v>
      </c>
      <c r="J62" s="223">
        <v>1460</v>
      </c>
      <c r="K62" s="319">
        <f t="shared" ref="K62" si="22">(J62-L62)/L62</f>
        <v>0.90600522193211486</v>
      </c>
      <c r="L62" s="234">
        <v>766</v>
      </c>
      <c r="M62" s="83"/>
    </row>
    <row r="63" spans="2:13" s="84" customFormat="1" ht="4.5" customHeight="1" x14ac:dyDescent="0.25">
      <c r="B63" s="82"/>
      <c r="D63" s="85"/>
      <c r="E63" s="256"/>
      <c r="F63" s="211"/>
      <c r="G63" s="211"/>
      <c r="H63" s="204"/>
      <c r="I63" s="256"/>
      <c r="J63" s="256"/>
      <c r="K63" s="211"/>
      <c r="L63" s="204"/>
      <c r="M63" s="83"/>
    </row>
    <row r="64" spans="2:13" s="84" customFormat="1" ht="21" customHeight="1" x14ac:dyDescent="0.25">
      <c r="B64" s="392" t="s">
        <v>107</v>
      </c>
      <c r="C64" s="393"/>
      <c r="D64" s="393"/>
      <c r="E64" s="258">
        <f>E65</f>
        <v>646</v>
      </c>
      <c r="F64" s="212">
        <f>(E64-H64)/H64</f>
        <v>2.5108695652173911</v>
      </c>
      <c r="G64" s="179">
        <f>(E64-I64)/I64</f>
        <v>-0.47861178369652946</v>
      </c>
      <c r="H64" s="304">
        <f>H65</f>
        <v>184</v>
      </c>
      <c r="I64" s="258">
        <f>I65</f>
        <v>1239</v>
      </c>
      <c r="J64" s="258">
        <f>J65</f>
        <v>4814</v>
      </c>
      <c r="K64" s="248">
        <f>(J64-L64)/L64</f>
        <v>0.85725308641975306</v>
      </c>
      <c r="L64" s="205">
        <f>L65</f>
        <v>2592</v>
      </c>
      <c r="M64" s="83"/>
    </row>
    <row r="65" spans="2:13" s="84" customFormat="1" ht="18" customHeight="1" x14ac:dyDescent="0.25">
      <c r="B65" s="185"/>
      <c r="C65" s="396" t="s">
        <v>73</v>
      </c>
      <c r="D65" s="397"/>
      <c r="E65" s="224">
        <v>646</v>
      </c>
      <c r="F65" s="214">
        <f>(E65-H65)/H65</f>
        <v>2.5108695652173911</v>
      </c>
      <c r="G65" s="163">
        <f>(E65-I65)/I65</f>
        <v>-0.47861178369652946</v>
      </c>
      <c r="H65" s="305">
        <v>184</v>
      </c>
      <c r="I65" s="224">
        <v>1239</v>
      </c>
      <c r="J65" s="223">
        <f>675+4139</f>
        <v>4814</v>
      </c>
      <c r="K65" s="213">
        <f>(J65-L65)/L65</f>
        <v>0.85725308641975306</v>
      </c>
      <c r="L65" s="234">
        <v>2592</v>
      </c>
      <c r="M65" s="83"/>
    </row>
    <row r="66" spans="2:13" s="84" customFormat="1" ht="3.65" customHeight="1" x14ac:dyDescent="0.25">
      <c r="B66" s="82"/>
      <c r="D66" s="257"/>
      <c r="E66" s="204"/>
      <c r="F66" s="211"/>
      <c r="G66" s="211"/>
      <c r="H66" s="204"/>
      <c r="I66" s="204"/>
      <c r="J66" s="204"/>
      <c r="K66" s="211"/>
      <c r="L66" s="204"/>
      <c r="M66" s="83"/>
    </row>
    <row r="67" spans="2:13" s="54" customFormat="1" ht="26.25" customHeight="1" thickBot="1" x14ac:dyDescent="0.3">
      <c r="B67" s="394" t="s">
        <v>108</v>
      </c>
      <c r="C67" s="395"/>
      <c r="D67" s="395"/>
      <c r="E67" s="300">
        <f>SUM(E42,E52,E64)</f>
        <v>19840</v>
      </c>
      <c r="F67" s="236">
        <f>(E67-H67)/H67</f>
        <v>-0.13123440031527783</v>
      </c>
      <c r="G67" s="255">
        <f>(E67-I67)/I67</f>
        <v>-0.22648056454442669</v>
      </c>
      <c r="H67" s="306">
        <f>SUM(H42,H52,H64)</f>
        <v>22837</v>
      </c>
      <c r="I67" s="300">
        <f>SUM(I42,I52,I64)</f>
        <v>25649</v>
      </c>
      <c r="J67" s="235">
        <f>SUM(J42,J52,J64)</f>
        <v>205785</v>
      </c>
      <c r="K67" s="249">
        <f>(J67-L67)/L67</f>
        <v>0.26004188199564038</v>
      </c>
      <c r="L67" s="332">
        <f>SUM(L42,L52,L64)</f>
        <v>163316</v>
      </c>
      <c r="M67" s="247"/>
    </row>
    <row r="68" spans="2:13" s="84" customFormat="1" ht="4.25" customHeight="1" x14ac:dyDescent="0.25">
      <c r="B68" s="82"/>
      <c r="D68" s="85"/>
      <c r="E68" s="301"/>
      <c r="F68" s="157"/>
      <c r="G68" s="157"/>
      <c r="H68" s="156"/>
      <c r="I68" s="225"/>
      <c r="J68" s="156"/>
      <c r="K68" s="157"/>
      <c r="L68" s="225"/>
      <c r="M68" s="83"/>
    </row>
  </sheetData>
  <mergeCells count="39">
    <mergeCell ref="C58:D58"/>
    <mergeCell ref="C57:D57"/>
    <mergeCell ref="C48:D48"/>
    <mergeCell ref="C56:D56"/>
    <mergeCell ref="C47:D47"/>
    <mergeCell ref="B52:D52"/>
    <mergeCell ref="C53:D53"/>
    <mergeCell ref="C50:D50"/>
    <mergeCell ref="C55:D55"/>
    <mergeCell ref="C54:D54"/>
    <mergeCell ref="C49:D49"/>
    <mergeCell ref="C44:D44"/>
    <mergeCell ref="L40:L41"/>
    <mergeCell ref="B40:D41"/>
    <mergeCell ref="F40:G40"/>
    <mergeCell ref="J40:J41"/>
    <mergeCell ref="C43:D43"/>
    <mergeCell ref="B67:D67"/>
    <mergeCell ref="B64:D64"/>
    <mergeCell ref="C65:D65"/>
    <mergeCell ref="C60:D60"/>
    <mergeCell ref="C61:D61"/>
    <mergeCell ref="C62:D62"/>
    <mergeCell ref="C59:D59"/>
    <mergeCell ref="C46:D46"/>
    <mergeCell ref="C45:D45"/>
    <mergeCell ref="B1:L1"/>
    <mergeCell ref="B3:D4"/>
    <mergeCell ref="J3:J4"/>
    <mergeCell ref="L3:L4"/>
    <mergeCell ref="C9:D9"/>
    <mergeCell ref="B5:B19"/>
    <mergeCell ref="C5:C8"/>
    <mergeCell ref="C26:D26"/>
    <mergeCell ref="C10:C18"/>
    <mergeCell ref="C23:D23"/>
    <mergeCell ref="C19:D19"/>
    <mergeCell ref="B42:D42"/>
    <mergeCell ref="C33:D33"/>
  </mergeCells>
  <phoneticPr fontId="2" type="noConversion"/>
  <printOptions horizontalCentered="1"/>
  <pageMargins left="0.62992125984251968" right="0.62992125984251968" top="0.62992125984251968" bottom="0.62992125984251968" header="0.39370078740157483" footer="0.39370078740157483"/>
  <pageSetup paperSize="9" scale="66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3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R633"/>
  <sheetViews>
    <sheetView showGridLines="0" topLeftCell="A11" zoomScale="145" zoomScaleNormal="145" zoomScaleSheetLayoutView="115" workbookViewId="0">
      <selection activeCell="M20" sqref="M20"/>
    </sheetView>
  </sheetViews>
  <sheetFormatPr defaultRowHeight="14" x14ac:dyDescent="0.25"/>
  <cols>
    <col min="1" max="1" width="0.58203125" style="15" customWidth="1"/>
    <col min="2" max="2" width="2.4140625" style="15" customWidth="1"/>
    <col min="3" max="3" width="7.83203125" style="15" customWidth="1"/>
    <col min="4" max="15" width="6.58203125" style="14" customWidth="1"/>
    <col min="16" max="16" width="7.83203125" style="15" customWidth="1"/>
    <col min="17" max="17" width="7.9140625" style="91" customWidth="1"/>
    <col min="18" max="18" width="9.08203125" customWidth="1"/>
  </cols>
  <sheetData>
    <row r="1" spans="1:17" s="11" customFormat="1" ht="13" x14ac:dyDescent="0.25">
      <c r="B1" s="11" t="s">
        <v>177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90"/>
    </row>
    <row r="2" spans="1:17" s="11" customFormat="1" ht="4.75" customHeight="1" x14ac:dyDescent="0.25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Q2" s="90"/>
    </row>
    <row r="3" spans="1:17" ht="14.5" thickBot="1" x14ac:dyDescent="0.3">
      <c r="B3" s="13" t="s">
        <v>176</v>
      </c>
      <c r="C3" s="13"/>
    </row>
    <row r="4" spans="1:17" ht="12.75" customHeight="1" thickBot="1" x14ac:dyDescent="0.3">
      <c r="B4" s="421" t="s">
        <v>1</v>
      </c>
      <c r="C4" s="422"/>
      <c r="D4" s="16">
        <v>1</v>
      </c>
      <c r="E4" s="17">
        <v>2</v>
      </c>
      <c r="F4" s="17">
        <v>3</v>
      </c>
      <c r="G4" s="17">
        <v>4</v>
      </c>
      <c r="H4" s="17">
        <v>5</v>
      </c>
      <c r="I4" s="17">
        <v>6</v>
      </c>
      <c r="J4" s="17">
        <v>7</v>
      </c>
      <c r="K4" s="17">
        <v>8</v>
      </c>
      <c r="L4" s="17" t="s">
        <v>54</v>
      </c>
      <c r="M4" s="17">
        <v>10</v>
      </c>
      <c r="N4" s="17">
        <v>11</v>
      </c>
      <c r="O4" s="17">
        <v>12</v>
      </c>
      <c r="P4" s="18" t="s">
        <v>0</v>
      </c>
    </row>
    <row r="5" spans="1:17" ht="12.75" customHeight="1" x14ac:dyDescent="0.25">
      <c r="B5" s="416" t="s">
        <v>37</v>
      </c>
      <c r="C5" s="130" t="s">
        <v>20</v>
      </c>
      <c r="D5" s="57">
        <v>5463</v>
      </c>
      <c r="E5" s="57">
        <v>6296</v>
      </c>
      <c r="F5" s="57">
        <v>6829</v>
      </c>
      <c r="G5" s="57">
        <v>7099</v>
      </c>
      <c r="H5" s="57">
        <f>1379+128+4931</f>
        <v>6438</v>
      </c>
      <c r="I5" s="57">
        <v>7485</v>
      </c>
      <c r="J5" s="57">
        <v>6145</v>
      </c>
      <c r="K5" s="57">
        <f>1212+151+6292</f>
        <v>7655</v>
      </c>
      <c r="L5" s="57">
        <f>963+186+6526</f>
        <v>7675</v>
      </c>
      <c r="M5" s="57">
        <f>1090+145+4779</f>
        <v>6014</v>
      </c>
      <c r="N5" s="57"/>
      <c r="O5" s="57"/>
      <c r="P5" s="59">
        <f t="shared" ref="P5:P20" si="0">SUM(D5:O5)</f>
        <v>67099</v>
      </c>
      <c r="Q5"/>
    </row>
    <row r="6" spans="1:17" ht="12.75" customHeight="1" x14ac:dyDescent="0.25">
      <c r="B6" s="417"/>
      <c r="C6" s="132" t="s">
        <v>21</v>
      </c>
      <c r="D6" s="56">
        <v>3620</v>
      </c>
      <c r="E6" s="56">
        <v>4585</v>
      </c>
      <c r="F6" s="56">
        <v>4588</v>
      </c>
      <c r="G6" s="56">
        <v>4702</v>
      </c>
      <c r="H6" s="56">
        <f>741+1949+1444</f>
        <v>4134</v>
      </c>
      <c r="I6" s="56">
        <v>4216</v>
      </c>
      <c r="J6" s="56">
        <v>3314</v>
      </c>
      <c r="K6" s="56">
        <f>1797+634+1096</f>
        <v>3527</v>
      </c>
      <c r="L6" s="56">
        <f>2118+823+1846</f>
        <v>4787</v>
      </c>
      <c r="M6" s="56">
        <f>2379+691+1533</f>
        <v>4603</v>
      </c>
      <c r="N6" s="56"/>
      <c r="O6" s="56"/>
      <c r="P6" s="59">
        <f t="shared" si="0"/>
        <v>42076</v>
      </c>
      <c r="Q6"/>
    </row>
    <row r="7" spans="1:17" ht="12.75" customHeight="1" x14ac:dyDescent="0.25">
      <c r="B7" s="417"/>
      <c r="C7" s="130" t="s">
        <v>145</v>
      </c>
      <c r="D7" s="57">
        <v>12</v>
      </c>
      <c r="E7" s="57">
        <v>346</v>
      </c>
      <c r="F7" s="57">
        <v>558</v>
      </c>
      <c r="G7" s="57">
        <v>610</v>
      </c>
      <c r="H7" s="57">
        <v>754</v>
      </c>
      <c r="I7" s="57">
        <v>674</v>
      </c>
      <c r="J7" s="57">
        <v>616</v>
      </c>
      <c r="K7" s="57">
        <v>230</v>
      </c>
      <c r="L7" s="57">
        <v>657</v>
      </c>
      <c r="M7" s="57">
        <f>327+40</f>
        <v>367</v>
      </c>
      <c r="N7" s="57"/>
      <c r="O7" s="57"/>
      <c r="P7" s="59">
        <f t="shared" si="0"/>
        <v>4824</v>
      </c>
      <c r="Q7"/>
    </row>
    <row r="8" spans="1:17" ht="12.75" customHeight="1" x14ac:dyDescent="0.25">
      <c r="B8" s="417"/>
      <c r="C8" s="132" t="s">
        <v>23</v>
      </c>
      <c r="D8" s="55">
        <v>5711</v>
      </c>
      <c r="E8" s="55">
        <v>5481</v>
      </c>
      <c r="F8" s="55">
        <v>6211</v>
      </c>
      <c r="G8" s="55">
        <v>6080</v>
      </c>
      <c r="H8" s="55">
        <f>2482+2115</f>
        <v>4597</v>
      </c>
      <c r="I8" s="55">
        <v>5579</v>
      </c>
      <c r="J8" s="55">
        <v>4408</v>
      </c>
      <c r="K8" s="55">
        <f>2626+2513</f>
        <v>5139</v>
      </c>
      <c r="L8" s="55">
        <f>2768+2630</f>
        <v>5398</v>
      </c>
      <c r="M8" s="55">
        <f>2733+2341</f>
        <v>5074</v>
      </c>
      <c r="N8" s="55"/>
      <c r="O8" s="55"/>
      <c r="P8" s="59">
        <f t="shared" si="0"/>
        <v>53678</v>
      </c>
      <c r="Q8"/>
    </row>
    <row r="9" spans="1:17" ht="12.75" customHeight="1" thickBot="1" x14ac:dyDescent="0.3">
      <c r="B9" s="418"/>
      <c r="C9" s="133" t="s">
        <v>0</v>
      </c>
      <c r="D9" s="32">
        <f t="shared" ref="D9:O9" si="1">SUM(D5:D8)</f>
        <v>14806</v>
      </c>
      <c r="E9" s="32">
        <f t="shared" si="1"/>
        <v>16708</v>
      </c>
      <c r="F9" s="32">
        <f t="shared" si="1"/>
        <v>18186</v>
      </c>
      <c r="G9" s="32">
        <v>18491</v>
      </c>
      <c r="H9" s="32">
        <f t="shared" si="1"/>
        <v>15923</v>
      </c>
      <c r="I9" s="32">
        <f t="shared" si="1"/>
        <v>17954</v>
      </c>
      <c r="J9" s="32">
        <f t="shared" si="1"/>
        <v>14483</v>
      </c>
      <c r="K9" s="32">
        <f t="shared" si="1"/>
        <v>16551</v>
      </c>
      <c r="L9" s="32">
        <f t="shared" si="1"/>
        <v>18517</v>
      </c>
      <c r="M9" s="32">
        <f t="shared" si="1"/>
        <v>16058</v>
      </c>
      <c r="N9" s="32">
        <f t="shared" si="1"/>
        <v>0</v>
      </c>
      <c r="O9" s="32">
        <f t="shared" si="1"/>
        <v>0</v>
      </c>
      <c r="P9" s="33">
        <f t="shared" si="0"/>
        <v>167677</v>
      </c>
      <c r="Q9"/>
    </row>
    <row r="10" spans="1:17" ht="12.75" customHeight="1" x14ac:dyDescent="0.25">
      <c r="B10" s="423" t="s">
        <v>36</v>
      </c>
      <c r="C10" s="341" t="s">
        <v>131</v>
      </c>
      <c r="D10" s="28">
        <v>926</v>
      </c>
      <c r="E10" s="29">
        <v>1293</v>
      </c>
      <c r="F10" s="29">
        <v>2025</v>
      </c>
      <c r="G10" s="29">
        <v>1455</v>
      </c>
      <c r="H10" s="29">
        <f>583+687</f>
        <v>1270</v>
      </c>
      <c r="I10" s="29">
        <v>1205</v>
      </c>
      <c r="J10" s="29">
        <v>1245</v>
      </c>
      <c r="K10" s="29">
        <f>791+456</f>
        <v>1247</v>
      </c>
      <c r="L10" s="29">
        <f>1174+970</f>
        <v>2144</v>
      </c>
      <c r="M10" s="29">
        <f>511+971</f>
        <v>1482</v>
      </c>
      <c r="N10" s="29"/>
      <c r="O10" s="29"/>
      <c r="P10" s="24">
        <f t="shared" si="0"/>
        <v>14292</v>
      </c>
      <c r="Q10"/>
    </row>
    <row r="11" spans="1:17" ht="12.75" customHeight="1" x14ac:dyDescent="0.25">
      <c r="B11" s="424"/>
      <c r="C11" s="340" t="s">
        <v>86</v>
      </c>
      <c r="D11" s="22">
        <v>694</v>
      </c>
      <c r="E11" s="23">
        <v>697</v>
      </c>
      <c r="F11" s="23">
        <v>583</v>
      </c>
      <c r="G11" s="23">
        <v>760</v>
      </c>
      <c r="H11" s="23">
        <v>1157</v>
      </c>
      <c r="I11" s="23">
        <v>1086</v>
      </c>
      <c r="J11" s="23">
        <v>1272</v>
      </c>
      <c r="K11" s="23">
        <v>813</v>
      </c>
      <c r="L11" s="23">
        <v>1002</v>
      </c>
      <c r="M11" s="23">
        <v>556</v>
      </c>
      <c r="N11" s="23"/>
      <c r="O11" s="23"/>
      <c r="P11" s="24">
        <f t="shared" si="0"/>
        <v>8620</v>
      </c>
      <c r="Q11"/>
    </row>
    <row r="12" spans="1:17" ht="12.75" customHeight="1" x14ac:dyDescent="0.25">
      <c r="B12" s="424"/>
      <c r="C12" s="342" t="s">
        <v>63</v>
      </c>
      <c r="D12" s="19">
        <v>2141</v>
      </c>
      <c r="E12" s="20">
        <v>2234</v>
      </c>
      <c r="F12" s="20">
        <v>2869</v>
      </c>
      <c r="G12" s="20">
        <v>2722</v>
      </c>
      <c r="H12" s="20">
        <f>253+623+1046</f>
        <v>1922</v>
      </c>
      <c r="I12" s="20">
        <v>2958</v>
      </c>
      <c r="J12" s="20">
        <v>2592</v>
      </c>
      <c r="K12" s="20">
        <f>753+540+1720</f>
        <v>3013</v>
      </c>
      <c r="L12" s="20">
        <f>739+702+2145</f>
        <v>3586</v>
      </c>
      <c r="M12" s="20">
        <f>421+726+1804</f>
        <v>2951</v>
      </c>
      <c r="N12" s="20"/>
      <c r="O12" s="20"/>
      <c r="P12" s="24">
        <f t="shared" si="0"/>
        <v>26988</v>
      </c>
      <c r="Q12"/>
    </row>
    <row r="13" spans="1:17" ht="12.75" customHeight="1" x14ac:dyDescent="0.25">
      <c r="A13"/>
      <c r="B13" s="424"/>
      <c r="C13" s="342" t="s">
        <v>43</v>
      </c>
      <c r="D13" s="19">
        <v>3636</v>
      </c>
      <c r="E13" s="20">
        <v>4735</v>
      </c>
      <c r="F13" s="20">
        <v>4536</v>
      </c>
      <c r="G13" s="20">
        <v>5223</v>
      </c>
      <c r="H13" s="20">
        <f>1924+2164</f>
        <v>4088</v>
      </c>
      <c r="I13" s="20">
        <v>4453</v>
      </c>
      <c r="J13" s="20">
        <v>4011</v>
      </c>
      <c r="K13" s="20">
        <f>1667+2206</f>
        <v>3873</v>
      </c>
      <c r="L13" s="20">
        <f>2628+2502</f>
        <v>5130</v>
      </c>
      <c r="M13" s="20">
        <f>1572+2337</f>
        <v>3909</v>
      </c>
      <c r="N13" s="20"/>
      <c r="O13" s="20"/>
      <c r="P13" s="24">
        <f t="shared" si="0"/>
        <v>43594</v>
      </c>
      <c r="Q13"/>
    </row>
    <row r="14" spans="1:17" ht="12.75" customHeight="1" x14ac:dyDescent="0.25">
      <c r="A14"/>
      <c r="B14" s="424"/>
      <c r="C14" s="342" t="s">
        <v>118</v>
      </c>
      <c r="D14" s="19">
        <v>75</v>
      </c>
      <c r="E14" s="20">
        <v>1463</v>
      </c>
      <c r="F14" s="20">
        <v>1129</v>
      </c>
      <c r="G14" s="20">
        <v>1458</v>
      </c>
      <c r="H14" s="20">
        <f>1226+29</f>
        <v>1255</v>
      </c>
      <c r="I14" s="20">
        <v>1489</v>
      </c>
      <c r="J14" s="20">
        <v>1510</v>
      </c>
      <c r="K14" s="20">
        <f>1640+22</f>
        <v>1662</v>
      </c>
      <c r="L14" s="20">
        <f>2246+23</f>
        <v>2269</v>
      </c>
      <c r="M14" s="20">
        <f>1098+11</f>
        <v>1109</v>
      </c>
      <c r="N14" s="20"/>
      <c r="O14" s="20"/>
      <c r="P14" s="24">
        <f t="shared" si="0"/>
        <v>13419</v>
      </c>
      <c r="Q14"/>
    </row>
    <row r="15" spans="1:17" ht="12.75" customHeight="1" x14ac:dyDescent="0.25">
      <c r="A15"/>
      <c r="B15" s="424"/>
      <c r="C15" s="342" t="s">
        <v>73</v>
      </c>
      <c r="D15" s="19">
        <v>24</v>
      </c>
      <c r="E15" s="20">
        <v>248</v>
      </c>
      <c r="F15" s="20">
        <v>296</v>
      </c>
      <c r="G15" s="20">
        <v>85</v>
      </c>
      <c r="H15" s="20">
        <v>22</v>
      </c>
      <c r="I15" s="20">
        <v>50</v>
      </c>
      <c r="J15" s="20">
        <v>1001</v>
      </c>
      <c r="K15" s="20">
        <v>1203</v>
      </c>
      <c r="L15" s="20">
        <v>1239</v>
      </c>
      <c r="M15" s="20">
        <v>646</v>
      </c>
      <c r="N15" s="20"/>
      <c r="O15" s="20"/>
      <c r="P15" s="24">
        <f t="shared" si="0"/>
        <v>4814</v>
      </c>
      <c r="Q15"/>
    </row>
    <row r="16" spans="1:17" ht="12.75" customHeight="1" x14ac:dyDescent="0.25">
      <c r="A16"/>
      <c r="B16" s="424"/>
      <c r="C16" s="340" t="s">
        <v>5</v>
      </c>
      <c r="D16" s="22">
        <v>4819</v>
      </c>
      <c r="E16" s="23">
        <v>5076</v>
      </c>
      <c r="F16" s="23">
        <v>5591</v>
      </c>
      <c r="G16" s="23">
        <v>6354</v>
      </c>
      <c r="H16" s="23">
        <f>1452+3517</f>
        <v>4969</v>
      </c>
      <c r="I16" s="23">
        <v>5443</v>
      </c>
      <c r="J16" s="23">
        <v>4252</v>
      </c>
      <c r="K16" s="23">
        <f>1058+2245</f>
        <v>3303</v>
      </c>
      <c r="L16" s="23">
        <f>1323+4440</f>
        <v>5763</v>
      </c>
      <c r="M16" s="23">
        <f>1254+3607</f>
        <v>4861</v>
      </c>
      <c r="N16" s="23"/>
      <c r="O16" s="23"/>
      <c r="P16" s="24">
        <f t="shared" si="0"/>
        <v>50431</v>
      </c>
      <c r="Q16"/>
    </row>
    <row r="17" spans="1:17" ht="12.75" customHeight="1" x14ac:dyDescent="0.25">
      <c r="A17"/>
      <c r="B17" s="424"/>
      <c r="C17" s="340" t="s">
        <v>82</v>
      </c>
      <c r="D17" s="22">
        <v>2521</v>
      </c>
      <c r="E17" s="23">
        <v>3842</v>
      </c>
      <c r="F17" s="23">
        <v>4620</v>
      </c>
      <c r="G17" s="23">
        <v>6662</v>
      </c>
      <c r="H17" s="23">
        <f>1516+6166</f>
        <v>7682</v>
      </c>
      <c r="I17" s="23">
        <v>5471</v>
      </c>
      <c r="J17" s="23">
        <v>6238</v>
      </c>
      <c r="K17" s="23">
        <f>921+4311</f>
        <v>5232</v>
      </c>
      <c r="L17" s="23">
        <f>810+3260</f>
        <v>4070</v>
      </c>
      <c r="M17" s="23">
        <f>907+2922</f>
        <v>3829</v>
      </c>
      <c r="N17" s="23"/>
      <c r="O17" s="23"/>
      <c r="P17" s="24">
        <f t="shared" si="0"/>
        <v>50167</v>
      </c>
      <c r="Q17"/>
    </row>
    <row r="18" spans="1:17" ht="12.75" customHeight="1" x14ac:dyDescent="0.25">
      <c r="A18"/>
      <c r="B18" s="424"/>
      <c r="C18" s="340" t="s">
        <v>180</v>
      </c>
      <c r="D18" s="343" t="s">
        <v>181</v>
      </c>
      <c r="E18" s="22">
        <v>181</v>
      </c>
      <c r="F18" s="22">
        <v>784</v>
      </c>
      <c r="G18" s="22">
        <v>1009</v>
      </c>
      <c r="H18" s="22">
        <v>867</v>
      </c>
      <c r="I18" s="22">
        <v>767</v>
      </c>
      <c r="J18" s="22">
        <v>1137</v>
      </c>
      <c r="K18" s="22">
        <v>926</v>
      </c>
      <c r="L18" s="22">
        <v>1272</v>
      </c>
      <c r="M18" s="22">
        <v>667</v>
      </c>
      <c r="N18" s="22"/>
      <c r="O18" s="22"/>
      <c r="P18" s="24">
        <f t="shared" si="0"/>
        <v>7610</v>
      </c>
      <c r="Q18"/>
    </row>
    <row r="19" spans="1:17" ht="12.75" customHeight="1" thickBot="1" x14ac:dyDescent="0.3">
      <c r="A19"/>
      <c r="B19" s="425"/>
      <c r="C19" s="135" t="s">
        <v>0</v>
      </c>
      <c r="D19" s="26">
        <f>SUM(D10:D18)</f>
        <v>14836</v>
      </c>
      <c r="E19" s="26">
        <f>SUM(E10:E18)</f>
        <v>19769</v>
      </c>
      <c r="F19" s="26">
        <f>SUM(F10:F18)</f>
        <v>22433</v>
      </c>
      <c r="G19" s="26">
        <v>25728</v>
      </c>
      <c r="H19" s="26">
        <f t="shared" ref="H19:O19" si="2">SUM(H10:H18)</f>
        <v>23232</v>
      </c>
      <c r="I19" s="26">
        <f t="shared" si="2"/>
        <v>22922</v>
      </c>
      <c r="J19" s="26">
        <f t="shared" si="2"/>
        <v>23258</v>
      </c>
      <c r="K19" s="26">
        <f t="shared" si="2"/>
        <v>21272</v>
      </c>
      <c r="L19" s="26">
        <f t="shared" si="2"/>
        <v>26475</v>
      </c>
      <c r="M19" s="26">
        <f t="shared" si="2"/>
        <v>20010</v>
      </c>
      <c r="N19" s="26">
        <f t="shared" si="2"/>
        <v>0</v>
      </c>
      <c r="O19" s="26">
        <f t="shared" si="2"/>
        <v>0</v>
      </c>
      <c r="P19" s="27">
        <f t="shared" si="0"/>
        <v>219935</v>
      </c>
      <c r="Q19"/>
    </row>
    <row r="20" spans="1:17" ht="12.65" customHeight="1" x14ac:dyDescent="0.25">
      <c r="A20"/>
      <c r="B20" s="416" t="s">
        <v>6</v>
      </c>
      <c r="C20" s="129" t="s">
        <v>119</v>
      </c>
      <c r="D20" s="28">
        <v>2484</v>
      </c>
      <c r="E20" s="29">
        <v>3005</v>
      </c>
      <c r="F20" s="29">
        <v>3717</v>
      </c>
      <c r="G20" s="29">
        <v>3727</v>
      </c>
      <c r="H20" s="29">
        <f>475+2807</f>
        <v>3282</v>
      </c>
      <c r="I20" s="29">
        <v>3800</v>
      </c>
      <c r="J20" s="29">
        <v>3632</v>
      </c>
      <c r="K20" s="29">
        <f>2608+638</f>
        <v>3246</v>
      </c>
      <c r="L20" s="29">
        <f>1833+1268</f>
        <v>3101</v>
      </c>
      <c r="M20" s="29">
        <f>1121+1299</f>
        <v>2420</v>
      </c>
      <c r="N20" s="29"/>
      <c r="O20" s="29"/>
      <c r="P20" s="30">
        <f t="shared" si="0"/>
        <v>32414</v>
      </c>
      <c r="Q20"/>
    </row>
    <row r="21" spans="1:17" ht="12.75" customHeight="1" x14ac:dyDescent="0.25">
      <c r="A21"/>
      <c r="B21" s="417"/>
      <c r="C21" s="134" t="s">
        <v>9</v>
      </c>
      <c r="D21" s="19">
        <v>3335</v>
      </c>
      <c r="E21" s="20">
        <v>5169</v>
      </c>
      <c r="F21" s="20">
        <v>5653</v>
      </c>
      <c r="G21" s="20">
        <v>5372</v>
      </c>
      <c r="H21" s="20">
        <f>3720+778</f>
        <v>4498</v>
      </c>
      <c r="I21" s="20">
        <v>4352</v>
      </c>
      <c r="J21" s="20">
        <v>4296</v>
      </c>
      <c r="K21" s="20">
        <f>4253+1294</f>
        <v>5547</v>
      </c>
      <c r="L21" s="20">
        <f>4322+1003</f>
        <v>5325</v>
      </c>
      <c r="M21" s="20">
        <f>3375+604</f>
        <v>3979</v>
      </c>
      <c r="N21" s="20"/>
      <c r="O21" s="20"/>
      <c r="P21" s="21">
        <f>SUM(D21:O21)</f>
        <v>47526</v>
      </c>
      <c r="Q21"/>
    </row>
    <row r="22" spans="1:17" ht="12.75" customHeight="1" x14ac:dyDescent="0.25">
      <c r="A22"/>
      <c r="B22" s="417"/>
      <c r="C22" s="131" t="s">
        <v>171</v>
      </c>
      <c r="D22" s="314">
        <v>7</v>
      </c>
      <c r="E22" s="314">
        <v>201</v>
      </c>
      <c r="F22" s="314">
        <v>109</v>
      </c>
      <c r="G22" s="314">
        <v>115</v>
      </c>
      <c r="H22" s="314">
        <v>114</v>
      </c>
      <c r="I22" s="314">
        <v>77</v>
      </c>
      <c r="J22" s="314">
        <v>127</v>
      </c>
      <c r="K22" s="314">
        <v>201</v>
      </c>
      <c r="L22" s="314">
        <v>310</v>
      </c>
      <c r="M22" s="314">
        <v>199</v>
      </c>
      <c r="N22" s="314"/>
      <c r="O22" s="314"/>
      <c r="P22" s="315">
        <f>SUM(D22:O22)</f>
        <v>1460</v>
      </c>
      <c r="Q22"/>
    </row>
    <row r="23" spans="1:17" ht="12.75" customHeight="1" thickBot="1" x14ac:dyDescent="0.3">
      <c r="A23"/>
      <c r="B23" s="418"/>
      <c r="C23" s="133" t="s">
        <v>0</v>
      </c>
      <c r="D23" s="32">
        <f>SUM(D20:D22)</f>
        <v>5826</v>
      </c>
      <c r="E23" s="32">
        <f t="shared" ref="E23:O23" si="3">SUM(E20:E22)</f>
        <v>8375</v>
      </c>
      <c r="F23" s="32">
        <f t="shared" si="3"/>
        <v>9479</v>
      </c>
      <c r="G23" s="32">
        <v>9214</v>
      </c>
      <c r="H23" s="32">
        <f t="shared" si="3"/>
        <v>7894</v>
      </c>
      <c r="I23" s="32">
        <f t="shared" si="3"/>
        <v>8229</v>
      </c>
      <c r="J23" s="32">
        <f t="shared" si="3"/>
        <v>8055</v>
      </c>
      <c r="K23" s="32">
        <f t="shared" si="3"/>
        <v>8994</v>
      </c>
      <c r="L23" s="32">
        <f t="shared" si="3"/>
        <v>8736</v>
      </c>
      <c r="M23" s="32">
        <f t="shared" si="3"/>
        <v>6598</v>
      </c>
      <c r="N23" s="32">
        <f t="shared" si="3"/>
        <v>0</v>
      </c>
      <c r="O23" s="32">
        <f t="shared" si="3"/>
        <v>0</v>
      </c>
      <c r="P23" s="33">
        <f>SUM(D23:O23)</f>
        <v>81400</v>
      </c>
      <c r="Q23"/>
    </row>
    <row r="24" spans="1:17" ht="12.75" customHeight="1" x14ac:dyDescent="0.25">
      <c r="A24"/>
      <c r="B24" s="416" t="s">
        <v>7</v>
      </c>
      <c r="C24" s="129" t="s">
        <v>10</v>
      </c>
      <c r="D24" s="28">
        <v>500</v>
      </c>
      <c r="E24" s="29">
        <v>610</v>
      </c>
      <c r="F24" s="29">
        <v>754</v>
      </c>
      <c r="G24" s="29">
        <v>860</v>
      </c>
      <c r="H24" s="29">
        <f>187+155+228+241</f>
        <v>811</v>
      </c>
      <c r="I24" s="29">
        <v>835</v>
      </c>
      <c r="J24" s="29">
        <v>733</v>
      </c>
      <c r="K24" s="29">
        <f>194+152+168+220</f>
        <v>734</v>
      </c>
      <c r="L24" s="29">
        <f>206+131+199+256</f>
        <v>792</v>
      </c>
      <c r="M24" s="29">
        <f>191+111+209+253</f>
        <v>764</v>
      </c>
      <c r="N24" s="29"/>
      <c r="O24" s="29"/>
      <c r="P24" s="30">
        <f t="shared" ref="P24:P33" si="4">SUM(D24:O24)</f>
        <v>7393</v>
      </c>
      <c r="Q24"/>
    </row>
    <row r="25" spans="1:17" ht="12.75" customHeight="1" x14ac:dyDescent="0.25">
      <c r="A25"/>
      <c r="B25" s="417"/>
      <c r="C25" s="134" t="s">
        <v>11</v>
      </c>
      <c r="D25" s="19">
        <v>1262</v>
      </c>
      <c r="E25" s="20">
        <v>1531</v>
      </c>
      <c r="F25" s="20">
        <v>1646</v>
      </c>
      <c r="G25" s="20">
        <v>1713</v>
      </c>
      <c r="H25" s="20">
        <f>626+539+424</f>
        <v>1589</v>
      </c>
      <c r="I25" s="20">
        <v>1670</v>
      </c>
      <c r="J25" s="20">
        <v>1471</v>
      </c>
      <c r="K25" s="20">
        <f>540+596+332</f>
        <v>1468</v>
      </c>
      <c r="L25" s="20">
        <f>696+822+425</f>
        <v>1943</v>
      </c>
      <c r="M25" s="20">
        <f>495+489+348</f>
        <v>1332</v>
      </c>
      <c r="N25" s="20"/>
      <c r="O25" s="20"/>
      <c r="P25" s="21">
        <f>SUM(D25:O25)</f>
        <v>15625</v>
      </c>
      <c r="Q25"/>
    </row>
    <row r="26" spans="1:17" ht="12.75" customHeight="1" thickBot="1" x14ac:dyDescent="0.3">
      <c r="A26"/>
      <c r="B26" s="418"/>
      <c r="C26" s="133" t="s">
        <v>0</v>
      </c>
      <c r="D26" s="32">
        <f>SUM(D24:D25)</f>
        <v>1762</v>
      </c>
      <c r="E26" s="32">
        <f t="shared" ref="E26:M26" si="5">SUM(E24:E25)</f>
        <v>2141</v>
      </c>
      <c r="F26" s="32">
        <f t="shared" si="5"/>
        <v>2400</v>
      </c>
      <c r="G26" s="32">
        <v>2573</v>
      </c>
      <c r="H26" s="32">
        <f t="shared" si="5"/>
        <v>2400</v>
      </c>
      <c r="I26" s="32">
        <f t="shared" si="5"/>
        <v>2505</v>
      </c>
      <c r="J26" s="32">
        <f t="shared" si="5"/>
        <v>2204</v>
      </c>
      <c r="K26" s="32">
        <f t="shared" si="5"/>
        <v>2202</v>
      </c>
      <c r="L26" s="32">
        <f t="shared" si="5"/>
        <v>2735</v>
      </c>
      <c r="M26" s="32">
        <f t="shared" si="5"/>
        <v>2096</v>
      </c>
      <c r="N26" s="32">
        <f>SUM(N24:N25)</f>
        <v>0</v>
      </c>
      <c r="O26" s="32">
        <f>SUM(O24:O25)</f>
        <v>0</v>
      </c>
      <c r="P26" s="33">
        <f t="shared" si="4"/>
        <v>23018</v>
      </c>
      <c r="Q26"/>
    </row>
    <row r="27" spans="1:17" ht="12.75" customHeight="1" x14ac:dyDescent="0.25">
      <c r="A27"/>
      <c r="B27" s="416" t="s">
        <v>4</v>
      </c>
      <c r="C27" s="129" t="s">
        <v>65</v>
      </c>
      <c r="D27" s="110">
        <v>107</v>
      </c>
      <c r="E27" s="110">
        <v>162</v>
      </c>
      <c r="F27" s="110">
        <v>144</v>
      </c>
      <c r="G27" s="110">
        <v>210</v>
      </c>
      <c r="H27" s="110">
        <v>169</v>
      </c>
      <c r="I27" s="110">
        <v>206</v>
      </c>
      <c r="J27" s="110">
        <v>71</v>
      </c>
      <c r="K27" s="110">
        <v>199</v>
      </c>
      <c r="L27" s="110">
        <v>173</v>
      </c>
      <c r="M27" s="110">
        <v>127</v>
      </c>
      <c r="N27" s="110"/>
      <c r="O27" s="110"/>
      <c r="P27" s="111">
        <f t="shared" si="4"/>
        <v>1568</v>
      </c>
      <c r="Q27"/>
    </row>
    <row r="28" spans="1:17" ht="12.75" customHeight="1" x14ac:dyDescent="0.25">
      <c r="A28"/>
      <c r="B28" s="417"/>
      <c r="C28" s="136" t="s">
        <v>67</v>
      </c>
      <c r="D28" s="99">
        <v>2730</v>
      </c>
      <c r="E28" s="99">
        <v>4026</v>
      </c>
      <c r="F28" s="99">
        <v>3849</v>
      </c>
      <c r="G28" s="99">
        <v>4340</v>
      </c>
      <c r="H28" s="99">
        <f>3592+120</f>
        <v>3712</v>
      </c>
      <c r="I28" s="99">
        <v>3544</v>
      </c>
      <c r="J28" s="99">
        <v>2786</v>
      </c>
      <c r="K28" s="99">
        <f>2745+81</f>
        <v>2826</v>
      </c>
      <c r="L28" s="99">
        <f>3198+156</f>
        <v>3354</v>
      </c>
      <c r="M28" s="99">
        <f>2940+51</f>
        <v>2991</v>
      </c>
      <c r="N28" s="99"/>
      <c r="O28" s="99"/>
      <c r="P28" s="100">
        <f t="shared" si="4"/>
        <v>34158</v>
      </c>
      <c r="Q28"/>
    </row>
    <row r="29" spans="1:17" ht="12.75" customHeight="1" x14ac:dyDescent="0.25">
      <c r="A29"/>
      <c r="B29" s="417"/>
      <c r="C29" s="131" t="s">
        <v>80</v>
      </c>
      <c r="D29" s="22">
        <v>554</v>
      </c>
      <c r="E29" s="23">
        <v>628</v>
      </c>
      <c r="F29" s="23">
        <v>559</v>
      </c>
      <c r="G29" s="23">
        <v>787</v>
      </c>
      <c r="H29" s="23">
        <v>736</v>
      </c>
      <c r="I29" s="23">
        <v>668</v>
      </c>
      <c r="J29" s="23">
        <v>579</v>
      </c>
      <c r="K29" s="23">
        <v>577</v>
      </c>
      <c r="L29" s="23">
        <v>575</v>
      </c>
      <c r="M29" s="23">
        <v>492</v>
      </c>
      <c r="N29" s="23"/>
      <c r="O29" s="23"/>
      <c r="P29" s="24">
        <f t="shared" si="4"/>
        <v>6155</v>
      </c>
      <c r="Q29"/>
    </row>
    <row r="30" spans="1:17" ht="12.75" customHeight="1" x14ac:dyDescent="0.25">
      <c r="A30"/>
      <c r="B30" s="417"/>
      <c r="C30" s="131" t="s">
        <v>134</v>
      </c>
      <c r="D30" s="22">
        <v>2</v>
      </c>
      <c r="E30" s="23">
        <v>16</v>
      </c>
      <c r="F30" s="358">
        <v>6</v>
      </c>
      <c r="G30" s="23">
        <v>147</v>
      </c>
      <c r="H30" s="23">
        <v>111</v>
      </c>
      <c r="I30" s="23">
        <v>80</v>
      </c>
      <c r="J30" s="23">
        <v>81</v>
      </c>
      <c r="K30" s="23">
        <v>91</v>
      </c>
      <c r="L30" s="23">
        <v>81</v>
      </c>
      <c r="M30" s="23">
        <v>88</v>
      </c>
      <c r="N30" s="23"/>
      <c r="O30" s="23"/>
      <c r="P30" s="24">
        <f t="shared" si="4"/>
        <v>703</v>
      </c>
      <c r="Q30"/>
    </row>
    <row r="31" spans="1:17" ht="12.75" customHeight="1" x14ac:dyDescent="0.25">
      <c r="A31"/>
      <c r="B31" s="417"/>
      <c r="C31" s="131" t="s">
        <v>110</v>
      </c>
      <c r="D31" s="22">
        <v>2739</v>
      </c>
      <c r="E31" s="23">
        <v>2749</v>
      </c>
      <c r="F31" s="23">
        <v>3106</v>
      </c>
      <c r="G31" s="23">
        <v>3093</v>
      </c>
      <c r="H31" s="23">
        <f>2343+92</f>
        <v>2435</v>
      </c>
      <c r="I31" s="23">
        <v>3002</v>
      </c>
      <c r="J31" s="23">
        <v>2553</v>
      </c>
      <c r="K31" s="23">
        <f>2882+101</f>
        <v>2983</v>
      </c>
      <c r="L31" s="23">
        <f>2690+101</f>
        <v>2791</v>
      </c>
      <c r="M31" s="23">
        <f>2435+77</f>
        <v>2512</v>
      </c>
      <c r="N31" s="23"/>
      <c r="O31" s="23"/>
      <c r="P31" s="24">
        <f t="shared" si="4"/>
        <v>27963</v>
      </c>
      <c r="Q31"/>
    </row>
    <row r="32" spans="1:17" ht="12.75" customHeight="1" x14ac:dyDescent="0.25">
      <c r="A32"/>
      <c r="B32" s="417"/>
      <c r="C32" s="131" t="s">
        <v>97</v>
      </c>
      <c r="D32" s="22">
        <v>2692</v>
      </c>
      <c r="E32" s="23">
        <v>2642</v>
      </c>
      <c r="F32" s="23">
        <v>2928</v>
      </c>
      <c r="G32" s="23">
        <v>2927</v>
      </c>
      <c r="H32" s="23">
        <v>2354</v>
      </c>
      <c r="I32" s="23">
        <v>2954</v>
      </c>
      <c r="J32" s="23">
        <v>2157</v>
      </c>
      <c r="K32" s="23">
        <v>2635</v>
      </c>
      <c r="L32" s="23">
        <v>2564</v>
      </c>
      <c r="M32" s="23">
        <v>2850</v>
      </c>
      <c r="N32" s="23"/>
      <c r="O32" s="23"/>
      <c r="P32" s="24">
        <f t="shared" si="4"/>
        <v>26703</v>
      </c>
      <c r="Q32"/>
    </row>
    <row r="33" spans="1:18" ht="12.75" customHeight="1" thickBot="1" x14ac:dyDescent="0.3">
      <c r="A33"/>
      <c r="B33" s="418"/>
      <c r="C33" s="31" t="s">
        <v>0</v>
      </c>
      <c r="D33" s="32">
        <f>SUM(D27:D32)</f>
        <v>8824</v>
      </c>
      <c r="E33" s="32">
        <f t="shared" ref="E33:M33" si="6">SUM(E27:E32)</f>
        <v>10223</v>
      </c>
      <c r="F33" s="32">
        <f t="shared" si="6"/>
        <v>10592</v>
      </c>
      <c r="G33" s="32">
        <v>11504</v>
      </c>
      <c r="H33" s="32">
        <f t="shared" si="6"/>
        <v>9517</v>
      </c>
      <c r="I33" s="32">
        <f t="shared" si="6"/>
        <v>10454</v>
      </c>
      <c r="J33" s="32">
        <f t="shared" si="6"/>
        <v>8227</v>
      </c>
      <c r="K33" s="32">
        <f t="shared" si="6"/>
        <v>9311</v>
      </c>
      <c r="L33" s="32">
        <f t="shared" si="6"/>
        <v>9538</v>
      </c>
      <c r="M33" s="32">
        <f t="shared" si="6"/>
        <v>9060</v>
      </c>
      <c r="N33" s="32">
        <f>SUM(N27:N32)</f>
        <v>0</v>
      </c>
      <c r="O33" s="32">
        <f>SUM(O27:O32)</f>
        <v>0</v>
      </c>
      <c r="P33" s="209">
        <f t="shared" si="4"/>
        <v>97250</v>
      </c>
      <c r="Q33"/>
    </row>
    <row r="34" spans="1:18" ht="12.75" customHeight="1" thickBot="1" x14ac:dyDescent="0.3">
      <c r="A34"/>
      <c r="B34" s="419" t="s">
        <v>2</v>
      </c>
      <c r="C34" s="420"/>
      <c r="D34" s="34">
        <f t="shared" ref="D34:P34" si="7">SUM(D9,D19,D23,D26,D33)</f>
        <v>46054</v>
      </c>
      <c r="E34" s="34">
        <f t="shared" si="7"/>
        <v>57216</v>
      </c>
      <c r="F34" s="34">
        <f t="shared" si="7"/>
        <v>63090</v>
      </c>
      <c r="G34" s="34">
        <v>67510</v>
      </c>
      <c r="H34" s="34">
        <f t="shared" si="7"/>
        <v>58966</v>
      </c>
      <c r="I34" s="34">
        <f t="shared" si="7"/>
        <v>62064</v>
      </c>
      <c r="J34" s="34">
        <f t="shared" si="7"/>
        <v>56227</v>
      </c>
      <c r="K34" s="34">
        <f t="shared" si="7"/>
        <v>58330</v>
      </c>
      <c r="L34" s="34">
        <f t="shared" si="7"/>
        <v>66001</v>
      </c>
      <c r="M34" s="34">
        <f t="shared" si="7"/>
        <v>53822</v>
      </c>
      <c r="N34" s="34">
        <f t="shared" si="7"/>
        <v>0</v>
      </c>
      <c r="O34" s="34">
        <f t="shared" si="7"/>
        <v>0</v>
      </c>
      <c r="P34" s="210">
        <f t="shared" si="7"/>
        <v>589280</v>
      </c>
      <c r="Q34"/>
    </row>
    <row r="35" spans="1:18" ht="4.5" customHeight="1" x14ac:dyDescent="0.25">
      <c r="A35"/>
      <c r="J35" s="92"/>
      <c r="Q35"/>
    </row>
    <row r="36" spans="1:18" ht="9.65" customHeight="1" x14ac:dyDescent="0.25">
      <c r="A36"/>
      <c r="B36" s="63" t="s">
        <v>20</v>
      </c>
      <c r="C36" s="64"/>
      <c r="D36" s="65">
        <f>SUM(D37:D39)</f>
        <v>5463</v>
      </c>
      <c r="E36" s="65">
        <f t="shared" ref="E36:O36" si="8">SUM(E37:E39)</f>
        <v>6296</v>
      </c>
      <c r="F36" s="65">
        <f t="shared" si="8"/>
        <v>6829</v>
      </c>
      <c r="G36" s="65">
        <f t="shared" si="8"/>
        <v>7099</v>
      </c>
      <c r="H36" s="65">
        <f t="shared" si="8"/>
        <v>6438</v>
      </c>
      <c r="I36" s="65">
        <f t="shared" si="8"/>
        <v>7485</v>
      </c>
      <c r="J36" s="65">
        <f t="shared" si="8"/>
        <v>6145</v>
      </c>
      <c r="K36" s="65">
        <f t="shared" si="8"/>
        <v>7655</v>
      </c>
      <c r="L36" s="65">
        <f t="shared" si="8"/>
        <v>7675</v>
      </c>
      <c r="M36" s="65">
        <f t="shared" si="8"/>
        <v>6014</v>
      </c>
      <c r="N36" s="65">
        <f t="shared" si="8"/>
        <v>0</v>
      </c>
      <c r="O36" s="65">
        <f t="shared" si="8"/>
        <v>0</v>
      </c>
      <c r="P36" s="65">
        <f>SUM(P37:P39)</f>
        <v>67099</v>
      </c>
      <c r="R36" s="206"/>
    </row>
    <row r="37" spans="1:18" ht="9.75" customHeight="1" x14ac:dyDescent="0.25">
      <c r="A37"/>
      <c r="B37" s="67"/>
      <c r="C37" s="68" t="s">
        <v>102</v>
      </c>
      <c r="D37" s="79">
        <v>4086</v>
      </c>
      <c r="E37" s="79">
        <v>4658</v>
      </c>
      <c r="F37" s="69">
        <v>4981</v>
      </c>
      <c r="G37" s="80">
        <v>5324</v>
      </c>
      <c r="H37" s="69">
        <v>4931</v>
      </c>
      <c r="I37" s="77">
        <v>6197</v>
      </c>
      <c r="J37" s="78">
        <v>5022</v>
      </c>
      <c r="K37" s="72">
        <v>6292</v>
      </c>
      <c r="L37" s="72">
        <v>6526</v>
      </c>
      <c r="M37" s="72">
        <v>4779</v>
      </c>
      <c r="N37" s="72"/>
      <c r="O37" s="72"/>
      <c r="P37" s="203">
        <f>SUM(D37:O37)</f>
        <v>52796</v>
      </c>
    </row>
    <row r="38" spans="1:18" ht="9.75" customHeight="1" x14ac:dyDescent="0.25">
      <c r="A38"/>
      <c r="B38" s="67"/>
      <c r="C38" s="68" t="s">
        <v>103</v>
      </c>
      <c r="D38" s="69">
        <v>1233</v>
      </c>
      <c r="E38" s="69">
        <v>1445</v>
      </c>
      <c r="F38" s="69">
        <v>1769</v>
      </c>
      <c r="G38" s="69">
        <v>1667</v>
      </c>
      <c r="H38" s="69">
        <v>1379</v>
      </c>
      <c r="I38" s="69">
        <v>1137</v>
      </c>
      <c r="J38" s="69">
        <v>964</v>
      </c>
      <c r="K38" s="69">
        <v>1212</v>
      </c>
      <c r="L38" s="69">
        <v>963</v>
      </c>
      <c r="M38" s="69">
        <v>1090</v>
      </c>
      <c r="N38" s="69"/>
      <c r="O38" s="69"/>
      <c r="P38" s="203">
        <f>SUM(D38:O38)</f>
        <v>12859</v>
      </c>
    </row>
    <row r="39" spans="1:18" ht="9.75" customHeight="1" x14ac:dyDescent="0.25">
      <c r="A39"/>
      <c r="B39" s="71"/>
      <c r="C39" s="68" t="s">
        <v>154</v>
      </c>
      <c r="D39" s="69">
        <v>144</v>
      </c>
      <c r="E39" s="69">
        <v>193</v>
      </c>
      <c r="F39" s="69">
        <v>79</v>
      </c>
      <c r="G39" s="69">
        <v>108</v>
      </c>
      <c r="H39" s="69">
        <v>128</v>
      </c>
      <c r="I39" s="69">
        <v>151</v>
      </c>
      <c r="J39" s="69">
        <v>159</v>
      </c>
      <c r="K39" s="69">
        <v>151</v>
      </c>
      <c r="L39" s="69">
        <v>186</v>
      </c>
      <c r="M39" s="69">
        <v>145</v>
      </c>
      <c r="N39" s="69"/>
      <c r="O39" s="69"/>
      <c r="P39" s="203">
        <f>SUM(D39:O39)</f>
        <v>1444</v>
      </c>
    </row>
    <row r="40" spans="1:18" ht="4.5" customHeight="1" x14ac:dyDescent="0.25">
      <c r="A40"/>
      <c r="J40" s="92"/>
      <c r="Q40"/>
    </row>
    <row r="41" spans="1:18" ht="10.25" customHeight="1" x14ac:dyDescent="0.25">
      <c r="A41"/>
      <c r="B41" s="73" t="s">
        <v>21</v>
      </c>
      <c r="C41" s="74"/>
      <c r="D41" s="65">
        <f t="shared" ref="D41:P41" si="9">SUM(D42:D44)</f>
        <v>3620</v>
      </c>
      <c r="E41" s="65">
        <f t="shared" si="9"/>
        <v>4585</v>
      </c>
      <c r="F41" s="65">
        <f t="shared" si="9"/>
        <v>4588</v>
      </c>
      <c r="G41" s="65">
        <f t="shared" si="9"/>
        <v>4702</v>
      </c>
      <c r="H41" s="65">
        <f t="shared" si="9"/>
        <v>4134</v>
      </c>
      <c r="I41" s="65">
        <f t="shared" si="9"/>
        <v>4216</v>
      </c>
      <c r="J41" s="65">
        <f t="shared" si="9"/>
        <v>3314</v>
      </c>
      <c r="K41" s="65">
        <f t="shared" si="9"/>
        <v>3527</v>
      </c>
      <c r="L41" s="65">
        <f t="shared" si="9"/>
        <v>4787</v>
      </c>
      <c r="M41" s="65">
        <f t="shared" si="9"/>
        <v>4603</v>
      </c>
      <c r="N41" s="65">
        <f t="shared" si="9"/>
        <v>0</v>
      </c>
      <c r="O41" s="65">
        <f t="shared" si="9"/>
        <v>0</v>
      </c>
      <c r="P41" s="65">
        <f t="shared" si="9"/>
        <v>42076</v>
      </c>
    </row>
    <row r="42" spans="1:18" ht="9.9" customHeight="1" x14ac:dyDescent="0.25">
      <c r="A42"/>
      <c r="B42" s="67"/>
      <c r="C42" s="68" t="s">
        <v>85</v>
      </c>
      <c r="D42" s="69">
        <v>1785</v>
      </c>
      <c r="E42" s="69">
        <v>2089</v>
      </c>
      <c r="F42" s="69">
        <v>2409</v>
      </c>
      <c r="G42" s="69">
        <v>2372</v>
      </c>
      <c r="H42" s="69">
        <v>1949</v>
      </c>
      <c r="I42" s="69">
        <v>2167</v>
      </c>
      <c r="J42" s="69">
        <v>1738</v>
      </c>
      <c r="K42" s="69">
        <v>1797</v>
      </c>
      <c r="L42" s="69">
        <v>2118</v>
      </c>
      <c r="M42" s="69">
        <v>2379</v>
      </c>
      <c r="N42" s="69"/>
      <c r="O42" s="69"/>
      <c r="P42" s="202">
        <f>SUM(D42:O42)</f>
        <v>20803</v>
      </c>
    </row>
    <row r="43" spans="1:18" ht="9.9" customHeight="1" x14ac:dyDescent="0.25">
      <c r="A43"/>
      <c r="B43" s="67"/>
      <c r="C43" s="68" t="s">
        <v>88</v>
      </c>
      <c r="D43" s="69">
        <v>517</v>
      </c>
      <c r="E43" s="69">
        <v>961</v>
      </c>
      <c r="F43" s="69">
        <v>720</v>
      </c>
      <c r="G43" s="69">
        <v>744</v>
      </c>
      <c r="H43" s="69">
        <v>741</v>
      </c>
      <c r="I43" s="69">
        <v>756</v>
      </c>
      <c r="J43" s="69">
        <v>604</v>
      </c>
      <c r="K43" s="69">
        <v>634</v>
      </c>
      <c r="L43" s="69">
        <v>823</v>
      </c>
      <c r="M43" s="69">
        <v>691</v>
      </c>
      <c r="N43" s="69"/>
      <c r="O43" s="69"/>
      <c r="P43" s="202">
        <f>SUM(D43:O43)</f>
        <v>7191</v>
      </c>
    </row>
    <row r="44" spans="1:18" ht="9.9" customHeight="1" x14ac:dyDescent="0.25">
      <c r="A44"/>
      <c r="B44" s="71"/>
      <c r="C44" s="68" t="s">
        <v>169</v>
      </c>
      <c r="D44" s="69">
        <v>1318</v>
      </c>
      <c r="E44" s="69">
        <v>1535</v>
      </c>
      <c r="F44" s="69">
        <v>1459</v>
      </c>
      <c r="G44" s="69">
        <v>1586</v>
      </c>
      <c r="H44" s="69">
        <v>1444</v>
      </c>
      <c r="I44" s="69">
        <v>1293</v>
      </c>
      <c r="J44" s="69">
        <v>972</v>
      </c>
      <c r="K44" s="69">
        <v>1096</v>
      </c>
      <c r="L44" s="69">
        <v>1846</v>
      </c>
      <c r="M44" s="69">
        <v>1533</v>
      </c>
      <c r="N44" s="69"/>
      <c r="O44" s="69"/>
      <c r="P44" s="202">
        <f>SUM(D44:O44)</f>
        <v>14082</v>
      </c>
    </row>
    <row r="45" spans="1:18" ht="6" customHeight="1" x14ac:dyDescent="0.25">
      <c r="A4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6"/>
    </row>
    <row r="46" spans="1:18" ht="9.65" customHeight="1" x14ac:dyDescent="0.25">
      <c r="A46"/>
      <c r="B46" s="63" t="s">
        <v>23</v>
      </c>
      <c r="C46" s="64"/>
      <c r="D46" s="65">
        <f t="shared" ref="D46:P46" si="10">SUM(D47:D48)</f>
        <v>5711</v>
      </c>
      <c r="E46" s="65">
        <f t="shared" si="10"/>
        <v>5481</v>
      </c>
      <c r="F46" s="65">
        <f t="shared" si="10"/>
        <v>6211</v>
      </c>
      <c r="G46" s="65">
        <f t="shared" si="10"/>
        <v>6080</v>
      </c>
      <c r="H46" s="65">
        <f t="shared" si="10"/>
        <v>4597</v>
      </c>
      <c r="I46" s="65">
        <f t="shared" si="10"/>
        <v>5579</v>
      </c>
      <c r="J46" s="65">
        <f t="shared" si="10"/>
        <v>4408</v>
      </c>
      <c r="K46" s="65">
        <f t="shared" si="10"/>
        <v>5139</v>
      </c>
      <c r="L46" s="65">
        <f t="shared" si="10"/>
        <v>5398</v>
      </c>
      <c r="M46" s="65">
        <f t="shared" si="10"/>
        <v>5074</v>
      </c>
      <c r="N46" s="65">
        <f t="shared" si="10"/>
        <v>0</v>
      </c>
      <c r="O46" s="65">
        <f t="shared" si="10"/>
        <v>0</v>
      </c>
      <c r="P46" s="65">
        <f t="shared" si="10"/>
        <v>53678</v>
      </c>
    </row>
    <row r="47" spans="1:18" ht="9.75" customHeight="1" x14ac:dyDescent="0.25">
      <c r="A47"/>
      <c r="B47" s="67"/>
      <c r="C47" s="102" t="s">
        <v>146</v>
      </c>
      <c r="D47" s="103">
        <v>2613</v>
      </c>
      <c r="E47" s="103">
        <v>2331</v>
      </c>
      <c r="F47" s="104">
        <v>3079</v>
      </c>
      <c r="G47" s="105">
        <v>2833</v>
      </c>
      <c r="H47" s="104">
        <v>2115</v>
      </c>
      <c r="I47" s="106">
        <v>2462</v>
      </c>
      <c r="J47" s="106">
        <v>1824</v>
      </c>
      <c r="K47" s="104">
        <v>2513</v>
      </c>
      <c r="L47" s="104">
        <v>2630</v>
      </c>
      <c r="M47" s="104">
        <v>2341</v>
      </c>
      <c r="N47" s="104"/>
      <c r="O47" s="104"/>
      <c r="P47" s="202">
        <f>SUM(D47:O47)</f>
        <v>24741</v>
      </c>
    </row>
    <row r="48" spans="1:18" ht="9.75" customHeight="1" x14ac:dyDescent="0.25">
      <c r="A48"/>
      <c r="B48" s="71"/>
      <c r="C48" s="68" t="s">
        <v>147</v>
      </c>
      <c r="D48" s="69">
        <v>3098</v>
      </c>
      <c r="E48" s="69">
        <v>3150</v>
      </c>
      <c r="F48" s="69">
        <v>3132</v>
      </c>
      <c r="G48" s="69">
        <v>3247</v>
      </c>
      <c r="H48" s="69">
        <v>2482</v>
      </c>
      <c r="I48" s="69">
        <v>3117</v>
      </c>
      <c r="J48" s="69">
        <v>2584</v>
      </c>
      <c r="K48" s="69">
        <v>2626</v>
      </c>
      <c r="L48" s="69">
        <v>2768</v>
      </c>
      <c r="M48" s="69">
        <v>2733</v>
      </c>
      <c r="N48" s="69"/>
      <c r="O48" s="69"/>
      <c r="P48" s="202">
        <f>SUM(D48:O48)</f>
        <v>28937</v>
      </c>
    </row>
    <row r="49" spans="1:16" ht="6" customHeight="1" x14ac:dyDescent="0.25">
      <c r="A49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 ht="9.9" customHeight="1" x14ac:dyDescent="0.25">
      <c r="B50" s="63" t="s">
        <v>131</v>
      </c>
      <c r="C50" s="64"/>
      <c r="D50" s="65">
        <f>SUM(D51:D52)</f>
        <v>926</v>
      </c>
      <c r="E50" s="65">
        <f>SUM(E51:E52)</f>
        <v>1293</v>
      </c>
      <c r="F50" s="65">
        <f t="shared" ref="F50:P50" si="11">SUM(F51:F52)</f>
        <v>2025</v>
      </c>
      <c r="G50" s="65">
        <f t="shared" si="11"/>
        <v>1455</v>
      </c>
      <c r="H50" s="65">
        <f t="shared" si="11"/>
        <v>1270</v>
      </c>
      <c r="I50" s="65">
        <f t="shared" si="11"/>
        <v>1205</v>
      </c>
      <c r="J50" s="65">
        <f t="shared" si="11"/>
        <v>1245</v>
      </c>
      <c r="K50" s="65">
        <f t="shared" si="11"/>
        <v>1247</v>
      </c>
      <c r="L50" s="65">
        <f t="shared" si="11"/>
        <v>2144</v>
      </c>
      <c r="M50" s="65">
        <f t="shared" si="11"/>
        <v>1482</v>
      </c>
      <c r="N50" s="65">
        <f t="shared" si="11"/>
        <v>0</v>
      </c>
      <c r="O50" s="65">
        <f t="shared" si="11"/>
        <v>0</v>
      </c>
      <c r="P50" s="65">
        <f t="shared" si="11"/>
        <v>14292</v>
      </c>
    </row>
    <row r="51" spans="1:16" ht="9.9" customHeight="1" x14ac:dyDescent="0.25">
      <c r="B51" s="67"/>
      <c r="C51" s="68" t="s">
        <v>173</v>
      </c>
      <c r="D51" s="79">
        <v>740</v>
      </c>
      <c r="E51" s="79">
        <v>232</v>
      </c>
      <c r="F51" s="69">
        <v>840</v>
      </c>
      <c r="G51" s="80">
        <v>672</v>
      </c>
      <c r="H51" s="69">
        <v>583</v>
      </c>
      <c r="I51" s="77">
        <v>585</v>
      </c>
      <c r="J51" s="77">
        <v>597</v>
      </c>
      <c r="K51" s="69">
        <v>791</v>
      </c>
      <c r="L51" s="69">
        <v>1174</v>
      </c>
      <c r="M51" s="69">
        <v>511</v>
      </c>
      <c r="N51" s="69"/>
      <c r="O51" s="69"/>
      <c r="P51" s="203">
        <f>SUM(D51:O51)</f>
        <v>6725</v>
      </c>
    </row>
    <row r="52" spans="1:16" ht="9.9" customHeight="1" x14ac:dyDescent="0.25">
      <c r="B52" s="71"/>
      <c r="C52" s="68" t="s">
        <v>174</v>
      </c>
      <c r="D52" s="79">
        <v>186</v>
      </c>
      <c r="E52" s="79">
        <v>1061</v>
      </c>
      <c r="F52" s="69">
        <v>1185</v>
      </c>
      <c r="G52" s="80">
        <v>783</v>
      </c>
      <c r="H52" s="69">
        <v>687</v>
      </c>
      <c r="I52" s="77">
        <v>620</v>
      </c>
      <c r="J52" s="77">
        <v>648</v>
      </c>
      <c r="K52" s="69">
        <v>456</v>
      </c>
      <c r="L52" s="69">
        <v>970</v>
      </c>
      <c r="M52" s="69">
        <v>971</v>
      </c>
      <c r="N52" s="69"/>
      <c r="O52" s="69"/>
      <c r="P52" s="203">
        <f>SUM(D52:O52)</f>
        <v>7567</v>
      </c>
    </row>
    <row r="53" spans="1:16" ht="6" customHeight="1" x14ac:dyDescent="0.25">
      <c r="A53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</row>
    <row r="54" spans="1:16" ht="9.9" customHeight="1" x14ac:dyDescent="0.25">
      <c r="B54" s="63" t="s">
        <v>63</v>
      </c>
      <c r="C54" s="64"/>
      <c r="D54" s="65">
        <f t="shared" ref="D54:P54" si="12">SUM(D55:D57)</f>
        <v>2141</v>
      </c>
      <c r="E54" s="65">
        <f t="shared" si="12"/>
        <v>2234</v>
      </c>
      <c r="F54" s="65">
        <f t="shared" si="12"/>
        <v>2869</v>
      </c>
      <c r="G54" s="65">
        <f t="shared" si="12"/>
        <v>2722</v>
      </c>
      <c r="H54" s="65">
        <f t="shared" si="12"/>
        <v>1922</v>
      </c>
      <c r="I54" s="65">
        <f t="shared" si="12"/>
        <v>2958</v>
      </c>
      <c r="J54" s="65">
        <f t="shared" si="12"/>
        <v>2592</v>
      </c>
      <c r="K54" s="65">
        <f t="shared" si="12"/>
        <v>3013</v>
      </c>
      <c r="L54" s="65">
        <f t="shared" si="12"/>
        <v>3586</v>
      </c>
      <c r="M54" s="65">
        <f t="shared" si="12"/>
        <v>2951</v>
      </c>
      <c r="N54" s="65">
        <f t="shared" si="12"/>
        <v>0</v>
      </c>
      <c r="O54" s="65">
        <f t="shared" si="12"/>
        <v>0</v>
      </c>
      <c r="P54" s="65">
        <f t="shared" si="12"/>
        <v>26988</v>
      </c>
    </row>
    <row r="55" spans="1:16" ht="9.9" customHeight="1" x14ac:dyDescent="0.25">
      <c r="B55" s="67"/>
      <c r="C55" s="68" t="s">
        <v>150</v>
      </c>
      <c r="D55" s="79">
        <v>1510</v>
      </c>
      <c r="E55" s="79">
        <v>1271</v>
      </c>
      <c r="F55" s="69">
        <v>1702</v>
      </c>
      <c r="G55" s="80">
        <v>1755</v>
      </c>
      <c r="H55" s="69">
        <v>1046</v>
      </c>
      <c r="I55" s="77">
        <v>1885</v>
      </c>
      <c r="J55" s="77">
        <v>1410</v>
      </c>
      <c r="K55" s="69">
        <v>1720</v>
      </c>
      <c r="L55" s="69">
        <v>2145</v>
      </c>
      <c r="M55" s="69">
        <v>1804</v>
      </c>
      <c r="N55" s="69"/>
      <c r="O55" s="69"/>
      <c r="P55" s="203">
        <f t="shared" ref="P55:P57" si="13">SUM(D55:O55)</f>
        <v>16248</v>
      </c>
    </row>
    <row r="56" spans="1:16" ht="9.9" customHeight="1" x14ac:dyDescent="0.25">
      <c r="B56" s="67"/>
      <c r="C56" s="68" t="s">
        <v>151</v>
      </c>
      <c r="D56" s="79">
        <v>588</v>
      </c>
      <c r="E56" s="79">
        <v>552</v>
      </c>
      <c r="F56" s="69">
        <v>721</v>
      </c>
      <c r="G56" s="80">
        <v>669</v>
      </c>
      <c r="H56" s="69">
        <v>623</v>
      </c>
      <c r="I56" s="77">
        <v>751</v>
      </c>
      <c r="J56" s="77">
        <v>817</v>
      </c>
      <c r="K56" s="69">
        <v>753</v>
      </c>
      <c r="L56" s="69">
        <v>739</v>
      </c>
      <c r="M56" s="69">
        <v>726</v>
      </c>
      <c r="N56" s="69"/>
      <c r="O56" s="69"/>
      <c r="P56" s="203">
        <f t="shared" si="13"/>
        <v>6939</v>
      </c>
    </row>
    <row r="57" spans="1:16" ht="9.9" customHeight="1" x14ac:dyDescent="0.25">
      <c r="B57" s="71"/>
      <c r="C57" s="68" t="s">
        <v>155</v>
      </c>
      <c r="D57" s="79">
        <v>43</v>
      </c>
      <c r="E57" s="79">
        <v>411</v>
      </c>
      <c r="F57" s="69">
        <v>446</v>
      </c>
      <c r="G57" s="80">
        <v>298</v>
      </c>
      <c r="H57" s="69">
        <v>253</v>
      </c>
      <c r="I57" s="77">
        <v>322</v>
      </c>
      <c r="J57" s="77">
        <v>365</v>
      </c>
      <c r="K57" s="69">
        <v>540</v>
      </c>
      <c r="L57" s="69">
        <v>702</v>
      </c>
      <c r="M57" s="69">
        <v>421</v>
      </c>
      <c r="N57" s="69"/>
      <c r="O57" s="69"/>
      <c r="P57" s="203">
        <f t="shared" si="13"/>
        <v>3801</v>
      </c>
    </row>
    <row r="58" spans="1:16" ht="6.65" customHeight="1" x14ac:dyDescent="0.25"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76"/>
    </row>
    <row r="59" spans="1:16" ht="9.9" customHeight="1" x14ac:dyDescent="0.25">
      <c r="B59" s="63" t="s">
        <v>43</v>
      </c>
      <c r="C59" s="64"/>
      <c r="D59" s="65">
        <f>SUM(D60:D61)</f>
        <v>3636</v>
      </c>
      <c r="E59" s="65">
        <f>SUM(E60:E61)</f>
        <v>4735</v>
      </c>
      <c r="F59" s="65">
        <f t="shared" ref="F59:P59" si="14">SUM(F60:F61)</f>
        <v>4536</v>
      </c>
      <c r="G59" s="65">
        <f t="shared" si="14"/>
        <v>5223</v>
      </c>
      <c r="H59" s="65">
        <f t="shared" si="14"/>
        <v>4088</v>
      </c>
      <c r="I59" s="65">
        <f t="shared" si="14"/>
        <v>4453</v>
      </c>
      <c r="J59" s="65">
        <f t="shared" si="14"/>
        <v>4011</v>
      </c>
      <c r="K59" s="65">
        <f t="shared" si="14"/>
        <v>3873</v>
      </c>
      <c r="L59" s="65">
        <f t="shared" si="14"/>
        <v>5130</v>
      </c>
      <c r="M59" s="65">
        <f t="shared" si="14"/>
        <v>3909</v>
      </c>
      <c r="N59" s="65">
        <f t="shared" si="14"/>
        <v>0</v>
      </c>
      <c r="O59" s="65">
        <f t="shared" si="14"/>
        <v>0</v>
      </c>
      <c r="P59" s="65">
        <f t="shared" si="14"/>
        <v>43594</v>
      </c>
    </row>
    <row r="60" spans="1:16" ht="9.9" customHeight="1" x14ac:dyDescent="0.25">
      <c r="B60" s="67"/>
      <c r="C60" s="68" t="s">
        <v>105</v>
      </c>
      <c r="D60" s="79">
        <v>2097</v>
      </c>
      <c r="E60" s="79">
        <v>2349</v>
      </c>
      <c r="F60" s="69">
        <v>2422</v>
      </c>
      <c r="G60" s="80">
        <v>2643</v>
      </c>
      <c r="H60" s="69">
        <v>2164</v>
      </c>
      <c r="I60" s="77">
        <v>2567</v>
      </c>
      <c r="J60" s="77">
        <v>2287</v>
      </c>
      <c r="K60" s="69">
        <v>2206</v>
      </c>
      <c r="L60" s="69">
        <v>2502</v>
      </c>
      <c r="M60" s="69">
        <v>2337</v>
      </c>
      <c r="N60" s="69"/>
      <c r="O60" s="69"/>
      <c r="P60" s="203">
        <f>SUM(D60:O60)</f>
        <v>23574</v>
      </c>
    </row>
    <row r="61" spans="1:16" ht="9.9" customHeight="1" x14ac:dyDescent="0.25">
      <c r="B61" s="71"/>
      <c r="C61" s="68" t="s">
        <v>106</v>
      </c>
      <c r="D61" s="79">
        <v>1539</v>
      </c>
      <c r="E61" s="79">
        <v>2386</v>
      </c>
      <c r="F61" s="69">
        <v>2114</v>
      </c>
      <c r="G61" s="80">
        <v>2580</v>
      </c>
      <c r="H61" s="69">
        <v>1924</v>
      </c>
      <c r="I61" s="77">
        <v>1886</v>
      </c>
      <c r="J61" s="77">
        <v>1724</v>
      </c>
      <c r="K61" s="69">
        <v>1667</v>
      </c>
      <c r="L61" s="69">
        <v>2628</v>
      </c>
      <c r="M61" s="69">
        <v>1572</v>
      </c>
      <c r="N61" s="69"/>
      <c r="O61" s="69"/>
      <c r="P61" s="203">
        <f>SUM(D61:O61)</f>
        <v>20020</v>
      </c>
    </row>
    <row r="62" spans="1:16" ht="6.65" customHeight="1" x14ac:dyDescent="0.25"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76"/>
    </row>
    <row r="63" spans="1:16" ht="9.9" customHeight="1" x14ac:dyDescent="0.25">
      <c r="B63" s="63" t="s">
        <v>5</v>
      </c>
      <c r="C63" s="64"/>
      <c r="D63" s="197">
        <f t="shared" ref="D63:P63" si="15">SUM(D64:D65)</f>
        <v>4819</v>
      </c>
      <c r="E63" s="197">
        <f t="shared" si="15"/>
        <v>5076</v>
      </c>
      <c r="F63" s="197">
        <f t="shared" si="15"/>
        <v>5591</v>
      </c>
      <c r="G63" s="197">
        <f t="shared" si="15"/>
        <v>6354</v>
      </c>
      <c r="H63" s="197">
        <f t="shared" si="15"/>
        <v>4969</v>
      </c>
      <c r="I63" s="197">
        <f t="shared" si="15"/>
        <v>5443</v>
      </c>
      <c r="J63" s="197">
        <f t="shared" si="15"/>
        <v>4252</v>
      </c>
      <c r="K63" s="197">
        <f t="shared" si="15"/>
        <v>3303</v>
      </c>
      <c r="L63" s="197">
        <f t="shared" si="15"/>
        <v>5763</v>
      </c>
      <c r="M63" s="197">
        <f t="shared" si="15"/>
        <v>4861</v>
      </c>
      <c r="N63" s="197">
        <f t="shared" si="15"/>
        <v>0</v>
      </c>
      <c r="O63" s="197">
        <f t="shared" si="15"/>
        <v>0</v>
      </c>
      <c r="P63" s="197">
        <f t="shared" si="15"/>
        <v>50431</v>
      </c>
    </row>
    <row r="64" spans="1:16" ht="9.9" customHeight="1" x14ac:dyDescent="0.25">
      <c r="B64" s="67"/>
      <c r="C64" s="68" t="s">
        <v>156</v>
      </c>
      <c r="D64" s="69">
        <v>1005</v>
      </c>
      <c r="E64" s="69">
        <v>1174</v>
      </c>
      <c r="F64" s="69">
        <v>1358</v>
      </c>
      <c r="G64" s="69">
        <v>1612</v>
      </c>
      <c r="H64" s="69">
        <v>1452</v>
      </c>
      <c r="I64" s="69">
        <v>1376</v>
      </c>
      <c r="J64" s="77">
        <v>1397</v>
      </c>
      <c r="K64" s="69">
        <v>1058</v>
      </c>
      <c r="L64" s="69">
        <v>1323</v>
      </c>
      <c r="M64" s="69">
        <v>1254</v>
      </c>
      <c r="N64" s="69"/>
      <c r="O64" s="69"/>
      <c r="P64" s="203">
        <f>SUM(D64:O64)</f>
        <v>13009</v>
      </c>
    </row>
    <row r="65" spans="1:17" ht="9.9" customHeight="1" x14ac:dyDescent="0.25">
      <c r="B65" s="71"/>
      <c r="C65" s="68" t="s">
        <v>157</v>
      </c>
      <c r="D65" s="198">
        <v>3814</v>
      </c>
      <c r="E65" s="198">
        <v>3902</v>
      </c>
      <c r="F65" s="199">
        <v>4233</v>
      </c>
      <c r="G65" s="200">
        <v>4742</v>
      </c>
      <c r="H65" s="199">
        <v>3517</v>
      </c>
      <c r="I65" s="201">
        <v>4067</v>
      </c>
      <c r="J65" s="77">
        <v>2855</v>
      </c>
      <c r="K65" s="69">
        <v>2245</v>
      </c>
      <c r="L65" s="69">
        <v>4440</v>
      </c>
      <c r="M65" s="69">
        <v>3607</v>
      </c>
      <c r="N65" s="69"/>
      <c r="O65" s="69"/>
      <c r="P65" s="203">
        <f>SUM(D65:O65)</f>
        <v>37422</v>
      </c>
    </row>
    <row r="66" spans="1:17" ht="7.75" customHeight="1" x14ac:dyDescent="0.25"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76"/>
    </row>
    <row r="67" spans="1:17" ht="9.9" customHeight="1" x14ac:dyDescent="0.25">
      <c r="B67" s="63" t="s">
        <v>82</v>
      </c>
      <c r="C67" s="64"/>
      <c r="D67" s="197">
        <f t="shared" ref="D67:P67" si="16">SUM(D68:D70)</f>
        <v>2521</v>
      </c>
      <c r="E67" s="197">
        <f t="shared" si="16"/>
        <v>3842</v>
      </c>
      <c r="F67" s="197">
        <f t="shared" si="16"/>
        <v>4620</v>
      </c>
      <c r="G67" s="197">
        <f t="shared" si="16"/>
        <v>6662</v>
      </c>
      <c r="H67" s="197">
        <f t="shared" si="16"/>
        <v>7682</v>
      </c>
      <c r="I67" s="197">
        <f t="shared" si="16"/>
        <v>5471</v>
      </c>
      <c r="J67" s="197">
        <f t="shared" si="16"/>
        <v>6238</v>
      </c>
      <c r="K67" s="197">
        <f t="shared" si="16"/>
        <v>5232</v>
      </c>
      <c r="L67" s="197">
        <f t="shared" si="16"/>
        <v>4070</v>
      </c>
      <c r="M67" s="197">
        <f t="shared" si="16"/>
        <v>3829</v>
      </c>
      <c r="N67" s="197">
        <f t="shared" si="16"/>
        <v>0</v>
      </c>
      <c r="O67" s="197">
        <f t="shared" si="16"/>
        <v>0</v>
      </c>
      <c r="P67" s="197">
        <f t="shared" si="16"/>
        <v>50167</v>
      </c>
    </row>
    <row r="68" spans="1:17" ht="9.9" customHeight="1" x14ac:dyDescent="0.25">
      <c r="B68" s="67"/>
      <c r="C68" s="68" t="s">
        <v>178</v>
      </c>
      <c r="D68" s="69">
        <v>1287</v>
      </c>
      <c r="E68" s="69">
        <v>115</v>
      </c>
      <c r="F68" s="69">
        <v>0</v>
      </c>
      <c r="G68" s="69">
        <v>1</v>
      </c>
      <c r="H68" s="69">
        <v>0</v>
      </c>
      <c r="I68" s="69">
        <v>0</v>
      </c>
      <c r="J68" s="77">
        <v>0</v>
      </c>
      <c r="K68" s="69">
        <v>0</v>
      </c>
      <c r="L68" s="69">
        <v>0</v>
      </c>
      <c r="M68" s="69">
        <v>0</v>
      </c>
      <c r="N68" s="69"/>
      <c r="O68" s="69"/>
      <c r="P68" s="203">
        <f>SUM(D68:O68)</f>
        <v>1403</v>
      </c>
    </row>
    <row r="69" spans="1:17" ht="9.9" customHeight="1" x14ac:dyDescent="0.25">
      <c r="B69" s="67"/>
      <c r="C69" s="68" t="s">
        <v>179</v>
      </c>
      <c r="D69" s="198">
        <v>1234</v>
      </c>
      <c r="E69" s="198">
        <v>3727</v>
      </c>
      <c r="F69" s="199">
        <v>4618</v>
      </c>
      <c r="G69" s="200">
        <v>3135</v>
      </c>
      <c r="H69" s="199">
        <v>1516</v>
      </c>
      <c r="I69" s="201">
        <v>954</v>
      </c>
      <c r="J69" s="77">
        <v>1090</v>
      </c>
      <c r="K69" s="69">
        <v>921</v>
      </c>
      <c r="L69" s="69">
        <v>810</v>
      </c>
      <c r="M69" s="69">
        <v>907</v>
      </c>
      <c r="N69" s="69"/>
      <c r="O69" s="69"/>
      <c r="P69" s="203">
        <f>SUM(D69:O69)</f>
        <v>18912</v>
      </c>
    </row>
    <row r="70" spans="1:17" ht="9.9" customHeight="1" x14ac:dyDescent="0.25">
      <c r="B70" s="71"/>
      <c r="C70" s="68" t="s">
        <v>182</v>
      </c>
      <c r="D70" s="198">
        <v>0</v>
      </c>
      <c r="E70" s="198">
        <v>0</v>
      </c>
      <c r="F70" s="199">
        <v>2</v>
      </c>
      <c r="G70" s="200">
        <v>3526</v>
      </c>
      <c r="H70" s="199">
        <v>6166</v>
      </c>
      <c r="I70" s="201">
        <v>4517</v>
      </c>
      <c r="J70" s="77">
        <v>5148</v>
      </c>
      <c r="K70" s="69">
        <v>4311</v>
      </c>
      <c r="L70" s="69">
        <v>3260</v>
      </c>
      <c r="M70" s="69">
        <v>2922</v>
      </c>
      <c r="N70" s="69"/>
      <c r="O70" s="69"/>
      <c r="P70" s="203">
        <f>SUM(D70:O70)</f>
        <v>29852</v>
      </c>
    </row>
    <row r="71" spans="1:17" ht="7.75" customHeight="1" x14ac:dyDescent="0.25"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76"/>
    </row>
    <row r="72" spans="1:17" ht="10.25" customHeight="1" x14ac:dyDescent="0.25">
      <c r="B72" s="73" t="s">
        <v>118</v>
      </c>
      <c r="C72" s="74"/>
      <c r="D72" s="65">
        <f t="shared" ref="D72:M72" si="17">SUM(D73:D74)</f>
        <v>75</v>
      </c>
      <c r="E72" s="65">
        <f t="shared" si="17"/>
        <v>1463</v>
      </c>
      <c r="F72" s="65">
        <f t="shared" si="17"/>
        <v>1129</v>
      </c>
      <c r="G72" s="65">
        <f t="shared" si="17"/>
        <v>1458</v>
      </c>
      <c r="H72" s="65">
        <f t="shared" si="17"/>
        <v>1255</v>
      </c>
      <c r="I72" s="65">
        <f t="shared" si="17"/>
        <v>1489</v>
      </c>
      <c r="J72" s="65">
        <f t="shared" si="17"/>
        <v>1510</v>
      </c>
      <c r="K72" s="65">
        <f t="shared" si="17"/>
        <v>1662</v>
      </c>
      <c r="L72" s="65">
        <f t="shared" si="17"/>
        <v>2269</v>
      </c>
      <c r="M72" s="65">
        <f t="shared" si="17"/>
        <v>1109</v>
      </c>
      <c r="N72" s="65">
        <f>SUM(N73:N74)</f>
        <v>0</v>
      </c>
      <c r="O72" s="65">
        <f t="shared" ref="O72:P72" si="18">SUM(O73:O74)</f>
        <v>0</v>
      </c>
      <c r="P72" s="65">
        <f t="shared" si="18"/>
        <v>13419</v>
      </c>
    </row>
    <row r="73" spans="1:17" ht="9" customHeight="1" x14ac:dyDescent="0.25">
      <c r="B73" s="67"/>
      <c r="C73" s="68" t="s">
        <v>159</v>
      </c>
      <c r="D73" s="79">
        <v>49</v>
      </c>
      <c r="E73" s="79">
        <v>1446</v>
      </c>
      <c r="F73" s="79">
        <v>1090</v>
      </c>
      <c r="G73" s="79">
        <v>1422</v>
      </c>
      <c r="H73" s="79">
        <v>1226</v>
      </c>
      <c r="I73" s="79">
        <v>1464</v>
      </c>
      <c r="J73" s="79">
        <v>1474</v>
      </c>
      <c r="K73" s="79">
        <v>1640</v>
      </c>
      <c r="L73" s="79">
        <v>2246</v>
      </c>
      <c r="M73" s="79">
        <v>1098</v>
      </c>
      <c r="N73" s="72"/>
      <c r="O73" s="72"/>
      <c r="P73" s="202">
        <f>SUM(D73:O73)</f>
        <v>13155</v>
      </c>
    </row>
    <row r="74" spans="1:17" s="11" customFormat="1" ht="9" customHeight="1" x14ac:dyDescent="0.25">
      <c r="A74" s="15"/>
      <c r="B74" s="71"/>
      <c r="C74" s="68" t="s">
        <v>160</v>
      </c>
      <c r="D74" s="79">
        <v>26</v>
      </c>
      <c r="E74" s="79">
        <v>17</v>
      </c>
      <c r="F74" s="79">
        <v>39</v>
      </c>
      <c r="G74" s="79">
        <v>36</v>
      </c>
      <c r="H74" s="79">
        <v>29</v>
      </c>
      <c r="I74" s="79">
        <v>25</v>
      </c>
      <c r="J74" s="79">
        <v>36</v>
      </c>
      <c r="K74" s="79">
        <v>22</v>
      </c>
      <c r="L74" s="79">
        <v>23</v>
      </c>
      <c r="M74" s="79">
        <v>11</v>
      </c>
      <c r="N74" s="72"/>
      <c r="O74" s="72"/>
      <c r="P74" s="202">
        <f>SUM(D74:O74)</f>
        <v>264</v>
      </c>
      <c r="Q74" s="90"/>
    </row>
    <row r="75" spans="1:17" ht="7.25" customHeight="1" x14ac:dyDescent="0.25"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76"/>
    </row>
    <row r="76" spans="1:17" ht="10.25" customHeight="1" x14ac:dyDescent="0.25">
      <c r="B76" s="73" t="s">
        <v>67</v>
      </c>
      <c r="C76" s="74"/>
      <c r="D76" s="65">
        <f t="shared" ref="D76:P76" si="19">SUM(D77:D78)</f>
        <v>2730</v>
      </c>
      <c r="E76" s="65">
        <f t="shared" si="19"/>
        <v>4026</v>
      </c>
      <c r="F76" s="65">
        <f t="shared" si="19"/>
        <v>3849</v>
      </c>
      <c r="G76" s="65">
        <f t="shared" si="19"/>
        <v>4340</v>
      </c>
      <c r="H76" s="65">
        <f t="shared" si="19"/>
        <v>3712</v>
      </c>
      <c r="I76" s="65">
        <f t="shared" si="19"/>
        <v>3544</v>
      </c>
      <c r="J76" s="65">
        <f t="shared" si="19"/>
        <v>2786</v>
      </c>
      <c r="K76" s="65">
        <f t="shared" si="19"/>
        <v>2826</v>
      </c>
      <c r="L76" s="65">
        <f t="shared" si="19"/>
        <v>3354</v>
      </c>
      <c r="M76" s="65">
        <f t="shared" si="19"/>
        <v>2991</v>
      </c>
      <c r="N76" s="65">
        <f t="shared" si="19"/>
        <v>0</v>
      </c>
      <c r="O76" s="65">
        <f t="shared" si="19"/>
        <v>0</v>
      </c>
      <c r="P76" s="65">
        <f t="shared" si="19"/>
        <v>34158</v>
      </c>
    </row>
    <row r="77" spans="1:17" ht="9" customHeight="1" x14ac:dyDescent="0.25">
      <c r="B77" s="67"/>
      <c r="C77" s="68" t="s">
        <v>100</v>
      </c>
      <c r="D77" s="79">
        <v>2710</v>
      </c>
      <c r="E77" s="79">
        <v>3982</v>
      </c>
      <c r="F77" s="79">
        <v>3632</v>
      </c>
      <c r="G77" s="79">
        <v>4221</v>
      </c>
      <c r="H77" s="79">
        <v>3592</v>
      </c>
      <c r="I77" s="79">
        <v>3466</v>
      </c>
      <c r="J77" s="79">
        <v>2711</v>
      </c>
      <c r="K77" s="79">
        <v>2745</v>
      </c>
      <c r="L77" s="79">
        <v>3198</v>
      </c>
      <c r="M77" s="79">
        <v>2940</v>
      </c>
      <c r="N77" s="72"/>
      <c r="O77" s="72"/>
      <c r="P77" s="202">
        <f>SUM(D77:O77)</f>
        <v>33197</v>
      </c>
    </row>
    <row r="78" spans="1:17" s="11" customFormat="1" ht="9" customHeight="1" x14ac:dyDescent="0.25">
      <c r="A78" s="15"/>
      <c r="B78" s="71"/>
      <c r="C78" s="68" t="s">
        <v>141</v>
      </c>
      <c r="D78" s="79">
        <v>20</v>
      </c>
      <c r="E78" s="79">
        <v>44</v>
      </c>
      <c r="F78" s="79">
        <v>217</v>
      </c>
      <c r="G78" s="79">
        <v>119</v>
      </c>
      <c r="H78" s="79">
        <v>120</v>
      </c>
      <c r="I78" s="79">
        <v>78</v>
      </c>
      <c r="J78" s="79">
        <v>75</v>
      </c>
      <c r="K78" s="79">
        <v>81</v>
      </c>
      <c r="L78" s="79">
        <v>156</v>
      </c>
      <c r="M78" s="79">
        <v>51</v>
      </c>
      <c r="N78" s="72"/>
      <c r="O78" s="72"/>
      <c r="P78" s="202">
        <f>SUM(D78:O78)</f>
        <v>961</v>
      </c>
      <c r="Q78" s="90"/>
    </row>
    <row r="79" spans="1:17" ht="6.65" customHeight="1" x14ac:dyDescent="0.25">
      <c r="A79" s="142"/>
      <c r="B79" s="142"/>
      <c r="C79" s="142"/>
      <c r="D79" s="143"/>
      <c r="E79" s="143"/>
      <c r="F79" s="143"/>
      <c r="G79" s="143"/>
      <c r="H79" s="143"/>
      <c r="I79" s="143"/>
      <c r="J79" s="144"/>
      <c r="K79" s="144"/>
      <c r="L79" s="144"/>
      <c r="M79" s="144"/>
      <c r="N79" s="144"/>
      <c r="O79" s="144"/>
      <c r="P79" s="145"/>
    </row>
    <row r="80" spans="1:17" ht="10.25" customHeight="1" x14ac:dyDescent="0.25">
      <c r="B80" s="63" t="s">
        <v>110</v>
      </c>
      <c r="C80" s="64"/>
      <c r="D80" s="65">
        <f>SUM(D81,D82)</f>
        <v>2739</v>
      </c>
      <c r="E80" s="65">
        <f t="shared" ref="E80:O80" si="20">SUM(E81,E82)</f>
        <v>2749</v>
      </c>
      <c r="F80" s="65">
        <f t="shared" si="20"/>
        <v>3106</v>
      </c>
      <c r="G80" s="65">
        <f t="shared" si="20"/>
        <v>3093</v>
      </c>
      <c r="H80" s="65">
        <f t="shared" si="20"/>
        <v>2435</v>
      </c>
      <c r="I80" s="65">
        <f t="shared" si="20"/>
        <v>3002</v>
      </c>
      <c r="J80" s="65">
        <f t="shared" si="20"/>
        <v>2553</v>
      </c>
      <c r="K80" s="65">
        <f t="shared" si="20"/>
        <v>2983</v>
      </c>
      <c r="L80" s="65">
        <f t="shared" si="20"/>
        <v>2791</v>
      </c>
      <c r="M80" s="65">
        <f t="shared" si="20"/>
        <v>2512</v>
      </c>
      <c r="N80" s="65">
        <f t="shared" si="20"/>
        <v>0</v>
      </c>
      <c r="O80" s="65">
        <f t="shared" si="20"/>
        <v>0</v>
      </c>
      <c r="P80" s="65">
        <f>SUM(P81:P82)</f>
        <v>27963</v>
      </c>
    </row>
    <row r="81" spans="1:17" ht="8.4" customHeight="1" x14ac:dyDescent="0.25">
      <c r="B81" s="67"/>
      <c r="C81" s="68" t="s">
        <v>140</v>
      </c>
      <c r="D81" s="79">
        <v>2734</v>
      </c>
      <c r="E81" s="79">
        <v>2658</v>
      </c>
      <c r="F81" s="79">
        <v>2869</v>
      </c>
      <c r="G81" s="79">
        <v>2965</v>
      </c>
      <c r="H81" s="79">
        <v>2343</v>
      </c>
      <c r="I81" s="79">
        <v>2897</v>
      </c>
      <c r="J81" s="79">
        <v>2444</v>
      </c>
      <c r="K81" s="79">
        <v>2882</v>
      </c>
      <c r="L81" s="79">
        <v>2690</v>
      </c>
      <c r="M81" s="79">
        <v>2435</v>
      </c>
      <c r="N81" s="72"/>
      <c r="O81" s="72"/>
      <c r="P81" s="202">
        <f>SUM(D81:O81)</f>
        <v>26917</v>
      </c>
    </row>
    <row r="82" spans="1:17" s="11" customFormat="1" ht="9" customHeight="1" x14ac:dyDescent="0.25">
      <c r="A82" s="15"/>
      <c r="B82" s="71"/>
      <c r="C82" s="68" t="s">
        <v>142</v>
      </c>
      <c r="D82" s="79">
        <v>5</v>
      </c>
      <c r="E82" s="79">
        <v>91</v>
      </c>
      <c r="F82" s="79">
        <v>237</v>
      </c>
      <c r="G82" s="79">
        <v>128</v>
      </c>
      <c r="H82" s="79">
        <v>92</v>
      </c>
      <c r="I82" s="79">
        <v>105</v>
      </c>
      <c r="J82" s="79">
        <v>109</v>
      </c>
      <c r="K82" s="79">
        <v>101</v>
      </c>
      <c r="L82" s="79">
        <v>101</v>
      </c>
      <c r="M82" s="79">
        <v>77</v>
      </c>
      <c r="N82" s="72"/>
      <c r="O82" s="72"/>
      <c r="P82" s="202">
        <f>SUM(D82:O82)</f>
        <v>1046</v>
      </c>
      <c r="Q82" s="90"/>
    </row>
    <row r="83" spans="1:17" ht="6.65" customHeight="1" x14ac:dyDescent="0.25">
      <c r="A83" s="142"/>
      <c r="B83" s="142"/>
      <c r="C83" s="142"/>
      <c r="D83" s="143"/>
      <c r="E83" s="143"/>
      <c r="F83" s="143"/>
      <c r="G83" s="143"/>
      <c r="H83" s="143"/>
      <c r="I83" s="143"/>
      <c r="J83" s="144"/>
      <c r="K83" s="144"/>
      <c r="L83" s="144"/>
      <c r="M83" s="144"/>
      <c r="N83" s="144"/>
      <c r="O83" s="144"/>
      <c r="P83" s="145"/>
    </row>
    <row r="84" spans="1:17" ht="9.65" customHeight="1" x14ac:dyDescent="0.25">
      <c r="B84" s="63" t="s">
        <v>9</v>
      </c>
      <c r="C84" s="64"/>
      <c r="D84" s="65">
        <f>SUM(D85:D86)</f>
        <v>3335</v>
      </c>
      <c r="E84" s="65">
        <f t="shared" ref="E84:P84" si="21">SUM(E85:E86)</f>
        <v>5169</v>
      </c>
      <c r="F84" s="65">
        <f t="shared" si="21"/>
        <v>5653</v>
      </c>
      <c r="G84" s="65">
        <f t="shared" si="21"/>
        <v>5372</v>
      </c>
      <c r="H84" s="65">
        <f t="shared" si="21"/>
        <v>4498</v>
      </c>
      <c r="I84" s="65">
        <f t="shared" si="21"/>
        <v>4352</v>
      </c>
      <c r="J84" s="65">
        <f t="shared" si="21"/>
        <v>4296</v>
      </c>
      <c r="K84" s="65">
        <f t="shared" si="21"/>
        <v>5547</v>
      </c>
      <c r="L84" s="65">
        <f t="shared" si="21"/>
        <v>5325</v>
      </c>
      <c r="M84" s="65">
        <f t="shared" si="21"/>
        <v>3979</v>
      </c>
      <c r="N84" s="65">
        <f t="shared" si="21"/>
        <v>0</v>
      </c>
      <c r="O84" s="65">
        <f t="shared" si="21"/>
        <v>0</v>
      </c>
      <c r="P84" s="65">
        <f t="shared" si="21"/>
        <v>47526</v>
      </c>
    </row>
    <row r="85" spans="1:17" ht="9.65" customHeight="1" x14ac:dyDescent="0.25">
      <c r="B85" s="67"/>
      <c r="C85" s="68" t="s">
        <v>143</v>
      </c>
      <c r="D85" s="79">
        <v>3329</v>
      </c>
      <c r="E85" s="79">
        <v>3637</v>
      </c>
      <c r="F85" s="69">
        <v>4667</v>
      </c>
      <c r="G85" s="80">
        <v>4291</v>
      </c>
      <c r="H85" s="69">
        <v>3720</v>
      </c>
      <c r="I85" s="77">
        <v>3692</v>
      </c>
      <c r="J85" s="77">
        <v>3368</v>
      </c>
      <c r="K85" s="69">
        <v>4253</v>
      </c>
      <c r="L85" s="69">
        <v>4322</v>
      </c>
      <c r="M85" s="69">
        <v>3375</v>
      </c>
      <c r="N85" s="69"/>
      <c r="O85" s="69"/>
      <c r="P85" s="203">
        <f>SUM(D85:O85)</f>
        <v>38654</v>
      </c>
      <c r="Q85"/>
    </row>
    <row r="86" spans="1:17" ht="8.4" customHeight="1" x14ac:dyDescent="0.25">
      <c r="B86" s="71"/>
      <c r="C86" s="68" t="s">
        <v>144</v>
      </c>
      <c r="D86" s="79">
        <v>6</v>
      </c>
      <c r="E86" s="79">
        <v>1532</v>
      </c>
      <c r="F86" s="79">
        <v>986</v>
      </c>
      <c r="G86" s="79">
        <v>1081</v>
      </c>
      <c r="H86" s="79">
        <v>778</v>
      </c>
      <c r="I86" s="79">
        <v>660</v>
      </c>
      <c r="J86" s="79">
        <v>928</v>
      </c>
      <c r="K86" s="79">
        <v>1294</v>
      </c>
      <c r="L86" s="79">
        <v>1003</v>
      </c>
      <c r="M86" s="79">
        <v>604</v>
      </c>
      <c r="N86" s="72"/>
      <c r="O86" s="72"/>
      <c r="P86" s="203">
        <f>SUM(D86:O86)</f>
        <v>8872</v>
      </c>
      <c r="Q86"/>
    </row>
    <row r="87" spans="1:17" s="11" customFormat="1" ht="7.75" customHeight="1" x14ac:dyDescent="0.25"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Q87" s="90"/>
    </row>
    <row r="88" spans="1:17" ht="9.65" customHeight="1" x14ac:dyDescent="0.25">
      <c r="B88" s="63" t="s">
        <v>119</v>
      </c>
      <c r="C88" s="64"/>
      <c r="D88" s="65">
        <f>SUM(D89:D90)</f>
        <v>2484</v>
      </c>
      <c r="E88" s="65">
        <f t="shared" ref="E88:P88" si="22">SUM(E89:E90)</f>
        <v>3005</v>
      </c>
      <c r="F88" s="65">
        <f t="shared" si="22"/>
        <v>3717</v>
      </c>
      <c r="G88" s="65">
        <f t="shared" si="22"/>
        <v>3727</v>
      </c>
      <c r="H88" s="65">
        <f t="shared" si="22"/>
        <v>3282</v>
      </c>
      <c r="I88" s="65">
        <f t="shared" si="22"/>
        <v>3800</v>
      </c>
      <c r="J88" s="65">
        <f t="shared" si="22"/>
        <v>3632</v>
      </c>
      <c r="K88" s="65">
        <f t="shared" si="22"/>
        <v>3246</v>
      </c>
      <c r="L88" s="65">
        <f t="shared" si="22"/>
        <v>3101</v>
      </c>
      <c r="M88" s="65">
        <f t="shared" si="22"/>
        <v>2420</v>
      </c>
      <c r="N88" s="65">
        <f t="shared" si="22"/>
        <v>0</v>
      </c>
      <c r="O88" s="65">
        <f t="shared" si="22"/>
        <v>0</v>
      </c>
      <c r="P88" s="65">
        <f t="shared" si="22"/>
        <v>32414</v>
      </c>
    </row>
    <row r="89" spans="1:17" ht="9.65" customHeight="1" x14ac:dyDescent="0.25">
      <c r="B89" s="67"/>
      <c r="C89" s="68" t="s">
        <v>167</v>
      </c>
      <c r="D89" s="79">
        <v>1993</v>
      </c>
      <c r="E89" s="79">
        <v>2481</v>
      </c>
      <c r="F89" s="69">
        <v>3015</v>
      </c>
      <c r="G89" s="80">
        <v>3080</v>
      </c>
      <c r="H89" s="69">
        <v>2807</v>
      </c>
      <c r="I89" s="77">
        <v>3139</v>
      </c>
      <c r="J89" s="77">
        <v>2849</v>
      </c>
      <c r="K89" s="69">
        <v>2608</v>
      </c>
      <c r="L89" s="69">
        <v>1833</v>
      </c>
      <c r="M89" s="69">
        <v>1121</v>
      </c>
      <c r="N89" s="69"/>
      <c r="O89" s="69"/>
      <c r="P89" s="203">
        <f>SUM(D89:O89)</f>
        <v>24926</v>
      </c>
      <c r="Q89"/>
    </row>
    <row r="90" spans="1:17" ht="8.4" customHeight="1" x14ac:dyDescent="0.25">
      <c r="B90" s="71"/>
      <c r="C90" s="68" t="s">
        <v>168</v>
      </c>
      <c r="D90" s="79">
        <v>491</v>
      </c>
      <c r="E90" s="79">
        <v>524</v>
      </c>
      <c r="F90" s="79">
        <v>702</v>
      </c>
      <c r="G90" s="79">
        <v>647</v>
      </c>
      <c r="H90" s="79">
        <v>475</v>
      </c>
      <c r="I90" s="79">
        <v>661</v>
      </c>
      <c r="J90" s="79">
        <v>783</v>
      </c>
      <c r="K90" s="79">
        <v>638</v>
      </c>
      <c r="L90" s="79">
        <v>1268</v>
      </c>
      <c r="M90" s="79">
        <v>1299</v>
      </c>
      <c r="N90" s="72"/>
      <c r="O90" s="72"/>
      <c r="P90" s="203">
        <f>SUM(D90:O90)</f>
        <v>7488</v>
      </c>
      <c r="Q90"/>
    </row>
    <row r="91" spans="1:17" s="11" customFormat="1" ht="4.75" customHeight="1" x14ac:dyDescent="0.25"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Q91" s="90"/>
    </row>
    <row r="92" spans="1:17" ht="14.5" hidden="1" thickBot="1" x14ac:dyDescent="0.3">
      <c r="B92" s="13" t="s">
        <v>162</v>
      </c>
      <c r="C92" s="13"/>
    </row>
    <row r="93" spans="1:17" ht="12.75" hidden="1" customHeight="1" thickBot="1" x14ac:dyDescent="0.3">
      <c r="B93" s="421" t="s">
        <v>1</v>
      </c>
      <c r="C93" s="422"/>
      <c r="D93" s="16">
        <v>1</v>
      </c>
      <c r="E93" s="17">
        <v>2</v>
      </c>
      <c r="F93" s="17">
        <v>3</v>
      </c>
      <c r="G93" s="17">
        <v>4</v>
      </c>
      <c r="H93" s="17">
        <v>5</v>
      </c>
      <c r="I93" s="17">
        <v>6</v>
      </c>
      <c r="J93" s="17">
        <v>7</v>
      </c>
      <c r="K93" s="17">
        <v>8</v>
      </c>
      <c r="L93" s="17" t="s">
        <v>54</v>
      </c>
      <c r="M93" s="17">
        <v>10</v>
      </c>
      <c r="N93" s="17">
        <v>11</v>
      </c>
      <c r="O93" s="17">
        <v>12</v>
      </c>
      <c r="P93" s="18" t="s">
        <v>0</v>
      </c>
    </row>
    <row r="94" spans="1:17" ht="12.75" hidden="1" customHeight="1" x14ac:dyDescent="0.25">
      <c r="B94" s="416" t="s">
        <v>37</v>
      </c>
      <c r="C94" s="130" t="s">
        <v>20</v>
      </c>
      <c r="D94" s="57">
        <v>4438</v>
      </c>
      <c r="E94" s="57">
        <v>2292</v>
      </c>
      <c r="F94" s="57">
        <v>4188</v>
      </c>
      <c r="G94" s="57">
        <v>5806</v>
      </c>
      <c r="H94" s="57">
        <v>5793</v>
      </c>
      <c r="I94" s="57">
        <v>4806</v>
      </c>
      <c r="J94" s="57">
        <v>3975</v>
      </c>
      <c r="K94" s="57">
        <v>3939</v>
      </c>
      <c r="L94" s="57">
        <v>3747</v>
      </c>
      <c r="M94" s="57">
        <v>5992</v>
      </c>
      <c r="N94" s="57">
        <v>5452</v>
      </c>
      <c r="O94" s="57">
        <v>6462</v>
      </c>
      <c r="P94" s="59">
        <f t="shared" ref="P94:P108" si="23">SUM(D94:O94)</f>
        <v>56890</v>
      </c>
      <c r="Q94"/>
    </row>
    <row r="95" spans="1:17" ht="12.75" hidden="1" customHeight="1" x14ac:dyDescent="0.25">
      <c r="B95" s="417"/>
      <c r="C95" s="132" t="s">
        <v>21</v>
      </c>
      <c r="D95" s="56">
        <v>496</v>
      </c>
      <c r="E95" s="56">
        <v>1423</v>
      </c>
      <c r="F95" s="56">
        <v>4078</v>
      </c>
      <c r="G95" s="56">
        <v>4695</v>
      </c>
      <c r="H95" s="56">
        <v>5820</v>
      </c>
      <c r="I95" s="56">
        <v>5712</v>
      </c>
      <c r="J95" s="56">
        <v>5532</v>
      </c>
      <c r="K95" s="56">
        <v>6317</v>
      </c>
      <c r="L95" s="56">
        <v>4890</v>
      </c>
      <c r="M95" s="56">
        <v>5047</v>
      </c>
      <c r="N95" s="56">
        <v>6658</v>
      </c>
      <c r="O95" s="56">
        <v>6687</v>
      </c>
      <c r="P95" s="59">
        <f t="shared" si="23"/>
        <v>57355</v>
      </c>
      <c r="Q95"/>
    </row>
    <row r="96" spans="1:17" ht="12.75" hidden="1" customHeight="1" x14ac:dyDescent="0.25">
      <c r="B96" s="417"/>
      <c r="C96" s="130" t="s">
        <v>145</v>
      </c>
      <c r="D96" s="57">
        <v>4</v>
      </c>
      <c r="E96" s="57">
        <v>98</v>
      </c>
      <c r="F96" s="57">
        <v>936</v>
      </c>
      <c r="G96" s="57">
        <v>421</v>
      </c>
      <c r="H96" s="57">
        <v>377</v>
      </c>
      <c r="I96" s="57">
        <v>292</v>
      </c>
      <c r="J96" s="57">
        <v>275</v>
      </c>
      <c r="K96" s="57">
        <v>405</v>
      </c>
      <c r="L96" s="57">
        <v>368</v>
      </c>
      <c r="M96" s="57">
        <v>866</v>
      </c>
      <c r="N96" s="57">
        <v>734</v>
      </c>
      <c r="O96" s="57">
        <v>181</v>
      </c>
      <c r="P96" s="59">
        <f t="shared" si="23"/>
        <v>4957</v>
      </c>
      <c r="Q96"/>
    </row>
    <row r="97" spans="1:17" ht="12.75" hidden="1" customHeight="1" x14ac:dyDescent="0.25">
      <c r="B97" s="417"/>
      <c r="C97" s="132" t="s">
        <v>23</v>
      </c>
      <c r="D97" s="55">
        <v>3635</v>
      </c>
      <c r="E97" s="55">
        <v>3963</v>
      </c>
      <c r="F97" s="55">
        <v>6100</v>
      </c>
      <c r="G97" s="55">
        <v>7085</v>
      </c>
      <c r="H97" s="55">
        <v>6884</v>
      </c>
      <c r="I97" s="55">
        <v>5703</v>
      </c>
      <c r="J97" s="55">
        <v>6287</v>
      </c>
      <c r="K97" s="55">
        <v>6187</v>
      </c>
      <c r="L97" s="55">
        <v>6120</v>
      </c>
      <c r="M97" s="55">
        <v>7433</v>
      </c>
      <c r="N97" s="55">
        <v>5047</v>
      </c>
      <c r="O97" s="55">
        <v>7212</v>
      </c>
      <c r="P97" s="59">
        <f t="shared" si="23"/>
        <v>71656</v>
      </c>
      <c r="Q97"/>
    </row>
    <row r="98" spans="1:17" ht="12.75" hidden="1" customHeight="1" thickBot="1" x14ac:dyDescent="0.3">
      <c r="B98" s="418"/>
      <c r="C98" s="133" t="s">
        <v>0</v>
      </c>
      <c r="D98" s="32">
        <f t="shared" ref="D98:O98" si="24">SUM(D94:D97)</f>
        <v>8573</v>
      </c>
      <c r="E98" s="32">
        <f t="shared" si="24"/>
        <v>7776</v>
      </c>
      <c r="F98" s="32">
        <f t="shared" si="24"/>
        <v>15302</v>
      </c>
      <c r="G98" s="32">
        <f t="shared" si="24"/>
        <v>18007</v>
      </c>
      <c r="H98" s="32">
        <f t="shared" si="24"/>
        <v>18874</v>
      </c>
      <c r="I98" s="32">
        <f t="shared" si="24"/>
        <v>16513</v>
      </c>
      <c r="J98" s="32">
        <f t="shared" si="24"/>
        <v>16069</v>
      </c>
      <c r="K98" s="32">
        <f t="shared" si="24"/>
        <v>16848</v>
      </c>
      <c r="L98" s="32">
        <f t="shared" si="24"/>
        <v>15125</v>
      </c>
      <c r="M98" s="32">
        <f t="shared" si="24"/>
        <v>19338</v>
      </c>
      <c r="N98" s="32">
        <f t="shared" si="24"/>
        <v>17891</v>
      </c>
      <c r="O98" s="32">
        <f t="shared" si="24"/>
        <v>20542</v>
      </c>
      <c r="P98" s="33">
        <f t="shared" si="23"/>
        <v>190858</v>
      </c>
      <c r="Q98"/>
    </row>
    <row r="99" spans="1:17" ht="12.75" hidden="1" customHeight="1" x14ac:dyDescent="0.25">
      <c r="B99" s="426" t="s">
        <v>36</v>
      </c>
      <c r="C99" s="129" t="s">
        <v>131</v>
      </c>
      <c r="D99" s="28">
        <v>3006</v>
      </c>
      <c r="E99" s="29">
        <v>3118</v>
      </c>
      <c r="F99" s="29">
        <v>3442</v>
      </c>
      <c r="G99" s="29">
        <v>3549</v>
      </c>
      <c r="H99" s="29">
        <v>3861</v>
      </c>
      <c r="I99" s="29">
        <v>3352</v>
      </c>
      <c r="J99" s="29">
        <v>3425</v>
      </c>
      <c r="K99" s="29">
        <v>5031</v>
      </c>
      <c r="L99" s="29">
        <v>4002</v>
      </c>
      <c r="M99" s="29">
        <v>3620</v>
      </c>
      <c r="N99" s="29">
        <v>3745</v>
      </c>
      <c r="O99" s="29">
        <v>1637</v>
      </c>
      <c r="P99" s="24">
        <f t="shared" si="23"/>
        <v>41788</v>
      </c>
      <c r="Q99"/>
    </row>
    <row r="100" spans="1:17" ht="12.75" hidden="1" customHeight="1" x14ac:dyDescent="0.25">
      <c r="B100" s="427"/>
      <c r="C100" s="131" t="s">
        <v>86</v>
      </c>
      <c r="D100" s="22">
        <v>323</v>
      </c>
      <c r="E100" s="23">
        <v>323</v>
      </c>
      <c r="F100" s="23">
        <v>283</v>
      </c>
      <c r="G100" s="23">
        <v>295</v>
      </c>
      <c r="H100" s="23">
        <v>603</v>
      </c>
      <c r="I100" s="23">
        <v>494</v>
      </c>
      <c r="J100" s="23">
        <v>365</v>
      </c>
      <c r="K100" s="23">
        <v>299</v>
      </c>
      <c r="L100" s="23">
        <v>411</v>
      </c>
      <c r="M100" s="23">
        <v>439</v>
      </c>
      <c r="N100" s="23">
        <v>395</v>
      </c>
      <c r="O100" s="23">
        <v>415</v>
      </c>
      <c r="P100" s="24">
        <f t="shared" si="23"/>
        <v>4645</v>
      </c>
      <c r="Q100"/>
    </row>
    <row r="101" spans="1:17" ht="12.75" hidden="1" customHeight="1" x14ac:dyDescent="0.25">
      <c r="B101" s="427"/>
      <c r="C101" s="134" t="s">
        <v>63</v>
      </c>
      <c r="D101" s="19">
        <v>1976</v>
      </c>
      <c r="E101" s="20">
        <v>1455</v>
      </c>
      <c r="F101" s="20">
        <v>2747</v>
      </c>
      <c r="G101" s="20">
        <v>2736</v>
      </c>
      <c r="H101" s="20">
        <v>2773</v>
      </c>
      <c r="I101" s="20">
        <v>2593</v>
      </c>
      <c r="J101" s="20">
        <v>2414</v>
      </c>
      <c r="K101" s="20">
        <v>2135</v>
      </c>
      <c r="L101" s="20">
        <v>2661</v>
      </c>
      <c r="M101" s="20">
        <v>2329</v>
      </c>
      <c r="N101" s="20">
        <v>2034</v>
      </c>
      <c r="O101" s="20">
        <v>2606</v>
      </c>
      <c r="P101" s="24">
        <f t="shared" si="23"/>
        <v>28459</v>
      </c>
      <c r="Q101"/>
    </row>
    <row r="102" spans="1:17" ht="12.75" hidden="1" customHeight="1" x14ac:dyDescent="0.25">
      <c r="A102"/>
      <c r="B102" s="427"/>
      <c r="C102" s="134" t="s">
        <v>43</v>
      </c>
      <c r="D102" s="19">
        <v>5152</v>
      </c>
      <c r="E102" s="20">
        <v>3070</v>
      </c>
      <c r="F102" s="20">
        <v>3524</v>
      </c>
      <c r="G102" s="20">
        <v>4262</v>
      </c>
      <c r="H102" s="20">
        <v>4838</v>
      </c>
      <c r="I102" s="20">
        <v>4216</v>
      </c>
      <c r="J102" s="20">
        <v>3124</v>
      </c>
      <c r="K102" s="20">
        <v>3965</v>
      </c>
      <c r="L102" s="20">
        <v>4553</v>
      </c>
      <c r="M102" s="20">
        <v>6365</v>
      </c>
      <c r="N102" s="20">
        <v>5583</v>
      </c>
      <c r="O102" s="20">
        <v>6605</v>
      </c>
      <c r="P102" s="24">
        <f t="shared" si="23"/>
        <v>55257</v>
      </c>
      <c r="Q102"/>
    </row>
    <row r="103" spans="1:17" ht="12.75" hidden="1" customHeight="1" x14ac:dyDescent="0.25">
      <c r="A103"/>
      <c r="B103" s="427"/>
      <c r="C103" s="134" t="s">
        <v>118</v>
      </c>
      <c r="D103" s="19">
        <v>39</v>
      </c>
      <c r="E103" s="20">
        <v>224</v>
      </c>
      <c r="F103" s="20">
        <v>1857</v>
      </c>
      <c r="G103" s="20">
        <v>1584</v>
      </c>
      <c r="H103" s="20">
        <v>1590</v>
      </c>
      <c r="I103" s="20">
        <v>1834</v>
      </c>
      <c r="J103" s="20">
        <v>1764</v>
      </c>
      <c r="K103" s="20">
        <v>1222</v>
      </c>
      <c r="L103" s="20">
        <v>1172</v>
      </c>
      <c r="M103" s="20">
        <v>1064</v>
      </c>
      <c r="N103" s="20">
        <v>1252</v>
      </c>
      <c r="O103" s="20">
        <v>611</v>
      </c>
      <c r="P103" s="24">
        <f t="shared" si="23"/>
        <v>14213</v>
      </c>
      <c r="Q103"/>
    </row>
    <row r="104" spans="1:17" ht="12.75" hidden="1" customHeight="1" x14ac:dyDescent="0.25">
      <c r="A104"/>
      <c r="B104" s="427"/>
      <c r="C104" s="134" t="s">
        <v>73</v>
      </c>
      <c r="D104" s="19">
        <v>2</v>
      </c>
      <c r="E104" s="20">
        <v>331</v>
      </c>
      <c r="F104" s="20">
        <v>268</v>
      </c>
      <c r="G104" s="20">
        <v>252</v>
      </c>
      <c r="H104" s="20">
        <v>316</v>
      </c>
      <c r="I104" s="20">
        <v>294</v>
      </c>
      <c r="J104" s="20">
        <v>330</v>
      </c>
      <c r="K104" s="20">
        <v>347</v>
      </c>
      <c r="L104" s="20">
        <v>268</v>
      </c>
      <c r="M104" s="20">
        <v>184</v>
      </c>
      <c r="N104" s="20">
        <v>111</v>
      </c>
      <c r="O104" s="20">
        <v>48</v>
      </c>
      <c r="P104" s="24">
        <f t="shared" si="23"/>
        <v>2751</v>
      </c>
      <c r="Q104"/>
    </row>
    <row r="105" spans="1:17" ht="12.75" hidden="1" customHeight="1" x14ac:dyDescent="0.25">
      <c r="A105"/>
      <c r="B105" s="427"/>
      <c r="C105" s="131" t="s">
        <v>5</v>
      </c>
      <c r="D105" s="22">
        <v>8016</v>
      </c>
      <c r="E105" s="23">
        <v>7413</v>
      </c>
      <c r="F105" s="23">
        <v>7884</v>
      </c>
      <c r="G105" s="23">
        <v>5847</v>
      </c>
      <c r="H105" s="23">
        <v>5605</v>
      </c>
      <c r="I105" s="23">
        <v>5000</v>
      </c>
      <c r="J105" s="23">
        <v>5248</v>
      </c>
      <c r="K105" s="23">
        <v>5715</v>
      </c>
      <c r="L105" s="23">
        <v>5314</v>
      </c>
      <c r="M105" s="23">
        <v>7294</v>
      </c>
      <c r="N105" s="23">
        <v>7576</v>
      </c>
      <c r="O105" s="23">
        <v>6249</v>
      </c>
      <c r="P105" s="24">
        <f t="shared" si="23"/>
        <v>77161</v>
      </c>
      <c r="Q105"/>
    </row>
    <row r="106" spans="1:17" ht="12.75" hidden="1" customHeight="1" x14ac:dyDescent="0.25">
      <c r="A106"/>
      <c r="B106" s="427"/>
      <c r="C106" s="131" t="s">
        <v>82</v>
      </c>
      <c r="D106" s="22">
        <v>1741</v>
      </c>
      <c r="E106" s="23">
        <v>2365</v>
      </c>
      <c r="F106" s="23">
        <v>1974</v>
      </c>
      <c r="G106" s="23">
        <v>1789</v>
      </c>
      <c r="H106" s="23">
        <v>1335</v>
      </c>
      <c r="I106" s="23">
        <v>1273</v>
      </c>
      <c r="J106" s="23">
        <v>1316</v>
      </c>
      <c r="K106" s="23">
        <v>1529</v>
      </c>
      <c r="L106" s="23">
        <v>1704</v>
      </c>
      <c r="M106" s="23">
        <v>1517</v>
      </c>
      <c r="N106" s="23">
        <v>2282</v>
      </c>
      <c r="O106" s="23">
        <v>2142</v>
      </c>
      <c r="P106" s="24">
        <f t="shared" si="23"/>
        <v>20967</v>
      </c>
      <c r="Q106"/>
    </row>
    <row r="107" spans="1:17" ht="12.75" hidden="1" customHeight="1" thickBot="1" x14ac:dyDescent="0.3">
      <c r="A107"/>
      <c r="B107" s="428"/>
      <c r="C107" s="135" t="s">
        <v>0</v>
      </c>
      <c r="D107" s="26">
        <f>SUM(D99:D106)</f>
        <v>20255</v>
      </c>
      <c r="E107" s="26">
        <f t="shared" ref="E107:J107" si="25">SUM(E99:E106)</f>
        <v>18299</v>
      </c>
      <c r="F107" s="26">
        <f t="shared" si="25"/>
        <v>21979</v>
      </c>
      <c r="G107" s="26">
        <f t="shared" si="25"/>
        <v>20314</v>
      </c>
      <c r="H107" s="26">
        <f t="shared" si="25"/>
        <v>20921</v>
      </c>
      <c r="I107" s="26">
        <f t="shared" si="25"/>
        <v>19056</v>
      </c>
      <c r="J107" s="26">
        <f t="shared" si="25"/>
        <v>17986</v>
      </c>
      <c r="K107" s="26">
        <f>SUM(K99:K106)</f>
        <v>20243</v>
      </c>
      <c r="L107" s="26">
        <f>SUM(L99:L106)</f>
        <v>20085</v>
      </c>
      <c r="M107" s="26">
        <f>SUM(M99:M106)</f>
        <v>22812</v>
      </c>
      <c r="N107" s="26">
        <f>SUM(N99:N106)</f>
        <v>22978</v>
      </c>
      <c r="O107" s="26">
        <f>SUM(O99:O106)</f>
        <v>20313</v>
      </c>
      <c r="P107" s="27">
        <f t="shared" si="23"/>
        <v>245241</v>
      </c>
      <c r="Q107"/>
    </row>
    <row r="108" spans="1:17" ht="12.65" hidden="1" customHeight="1" x14ac:dyDescent="0.25">
      <c r="A108"/>
      <c r="B108" s="416" t="s">
        <v>6</v>
      </c>
      <c r="C108" s="129" t="s">
        <v>119</v>
      </c>
      <c r="D108" s="28">
        <v>2996</v>
      </c>
      <c r="E108" s="29">
        <v>2878</v>
      </c>
      <c r="F108" s="29">
        <v>3123</v>
      </c>
      <c r="G108" s="29">
        <v>4844</v>
      </c>
      <c r="H108" s="29">
        <v>2744</v>
      </c>
      <c r="I108" s="29">
        <v>3623</v>
      </c>
      <c r="J108" s="29">
        <v>3575</v>
      </c>
      <c r="K108" s="29">
        <v>2951</v>
      </c>
      <c r="L108" s="29">
        <v>3194</v>
      </c>
      <c r="M108" s="29">
        <v>3747</v>
      </c>
      <c r="N108" s="29">
        <v>4094</v>
      </c>
      <c r="O108" s="29">
        <v>3349</v>
      </c>
      <c r="P108" s="30">
        <f t="shared" si="23"/>
        <v>41118</v>
      </c>
      <c r="Q108"/>
    </row>
    <row r="109" spans="1:17" ht="12.75" hidden="1" customHeight="1" x14ac:dyDescent="0.25">
      <c r="A109"/>
      <c r="B109" s="417"/>
      <c r="C109" s="134" t="s">
        <v>9</v>
      </c>
      <c r="D109" s="19">
        <v>4927</v>
      </c>
      <c r="E109" s="20">
        <v>6355</v>
      </c>
      <c r="F109" s="20">
        <v>8032</v>
      </c>
      <c r="G109" s="20">
        <v>6443</v>
      </c>
      <c r="H109" s="20">
        <v>6989</v>
      </c>
      <c r="I109" s="20">
        <v>5815</v>
      </c>
      <c r="J109" s="20">
        <v>5177</v>
      </c>
      <c r="K109" s="20">
        <v>5170</v>
      </c>
      <c r="L109" s="20">
        <v>4457</v>
      </c>
      <c r="M109" s="20">
        <v>5782</v>
      </c>
      <c r="N109" s="20">
        <v>4682</v>
      </c>
      <c r="O109" s="20">
        <v>5438</v>
      </c>
      <c r="P109" s="21">
        <f>SUM(D109:O109)</f>
        <v>69267</v>
      </c>
      <c r="Q109"/>
    </row>
    <row r="110" spans="1:17" ht="12.75" hidden="1" customHeight="1" x14ac:dyDescent="0.25">
      <c r="A110"/>
      <c r="B110" s="417"/>
      <c r="C110" s="131" t="s">
        <v>171</v>
      </c>
      <c r="D110" s="314">
        <v>0</v>
      </c>
      <c r="E110" s="314">
        <v>0</v>
      </c>
      <c r="F110" s="314">
        <v>0</v>
      </c>
      <c r="G110" s="314">
        <v>0</v>
      </c>
      <c r="H110" s="314">
        <v>24</v>
      </c>
      <c r="I110" s="314">
        <v>175</v>
      </c>
      <c r="J110" s="314">
        <v>194</v>
      </c>
      <c r="K110" s="314">
        <v>183</v>
      </c>
      <c r="L110" s="314">
        <v>102</v>
      </c>
      <c r="M110" s="314">
        <v>88</v>
      </c>
      <c r="N110" s="314">
        <v>173</v>
      </c>
      <c r="O110" s="314">
        <v>49</v>
      </c>
      <c r="P110" s="315">
        <f>SUM(D110:O110)</f>
        <v>988</v>
      </c>
      <c r="Q110"/>
    </row>
    <row r="111" spans="1:17" ht="12.75" hidden="1" customHeight="1" thickBot="1" x14ac:dyDescent="0.3">
      <c r="A111"/>
      <c r="B111" s="418"/>
      <c r="C111" s="133" t="s">
        <v>0</v>
      </c>
      <c r="D111" s="32">
        <f>SUM(D108:D110)</f>
        <v>7923</v>
      </c>
      <c r="E111" s="32">
        <f t="shared" ref="E111:O111" si="26">SUM(E108:E110)</f>
        <v>9233</v>
      </c>
      <c r="F111" s="32">
        <f t="shared" si="26"/>
        <v>11155</v>
      </c>
      <c r="G111" s="32">
        <f t="shared" si="26"/>
        <v>11287</v>
      </c>
      <c r="H111" s="32">
        <f t="shared" si="26"/>
        <v>9757</v>
      </c>
      <c r="I111" s="32">
        <f t="shared" si="26"/>
        <v>9613</v>
      </c>
      <c r="J111" s="32">
        <f t="shared" si="26"/>
        <v>8946</v>
      </c>
      <c r="K111" s="32">
        <f t="shared" si="26"/>
        <v>8304</v>
      </c>
      <c r="L111" s="32">
        <f t="shared" si="26"/>
        <v>7753</v>
      </c>
      <c r="M111" s="32">
        <f t="shared" si="26"/>
        <v>9617</v>
      </c>
      <c r="N111" s="32">
        <f t="shared" si="26"/>
        <v>8949</v>
      </c>
      <c r="O111" s="32">
        <f t="shared" si="26"/>
        <v>8836</v>
      </c>
      <c r="P111" s="33">
        <f>SUM(D111:O111)</f>
        <v>111373</v>
      </c>
      <c r="Q111"/>
    </row>
    <row r="112" spans="1:17" ht="12.75" hidden="1" customHeight="1" x14ac:dyDescent="0.25">
      <c r="A112"/>
      <c r="B112" s="416" t="s">
        <v>7</v>
      </c>
      <c r="C112" s="129" t="s">
        <v>10</v>
      </c>
      <c r="D112" s="28">
        <v>341</v>
      </c>
      <c r="E112" s="29">
        <v>445</v>
      </c>
      <c r="F112" s="29">
        <v>578</v>
      </c>
      <c r="G112" s="29">
        <v>593</v>
      </c>
      <c r="H112" s="29">
        <v>742</v>
      </c>
      <c r="I112" s="29">
        <v>728</v>
      </c>
      <c r="J112" s="29">
        <v>681</v>
      </c>
      <c r="K112" s="29">
        <v>820</v>
      </c>
      <c r="L112" s="29">
        <v>759</v>
      </c>
      <c r="M112" s="29">
        <v>995</v>
      </c>
      <c r="N112" s="29">
        <v>906</v>
      </c>
      <c r="O112" s="29">
        <v>895</v>
      </c>
      <c r="P112" s="30">
        <f t="shared" ref="P112:P121" si="27">SUM(D112:O112)</f>
        <v>8483</v>
      </c>
      <c r="Q112"/>
    </row>
    <row r="113" spans="1:18" ht="12.75" hidden="1" customHeight="1" x14ac:dyDescent="0.25">
      <c r="A113"/>
      <c r="B113" s="417"/>
      <c r="C113" s="134" t="s">
        <v>11</v>
      </c>
      <c r="D113" s="19">
        <v>1369</v>
      </c>
      <c r="E113" s="20">
        <v>1318</v>
      </c>
      <c r="F113" s="20">
        <v>1651</v>
      </c>
      <c r="G113" s="20">
        <v>1748</v>
      </c>
      <c r="H113" s="20">
        <v>1770</v>
      </c>
      <c r="I113" s="20">
        <v>1790</v>
      </c>
      <c r="J113" s="20">
        <v>1624</v>
      </c>
      <c r="K113" s="20">
        <v>1549</v>
      </c>
      <c r="L113" s="20">
        <v>1445</v>
      </c>
      <c r="M113" s="20">
        <v>1495</v>
      </c>
      <c r="N113" s="20">
        <v>1495</v>
      </c>
      <c r="O113" s="20">
        <v>1127</v>
      </c>
      <c r="P113" s="21">
        <f t="shared" si="27"/>
        <v>18381</v>
      </c>
      <c r="Q113"/>
    </row>
    <row r="114" spans="1:18" ht="12.75" hidden="1" customHeight="1" thickBot="1" x14ac:dyDescent="0.3">
      <c r="A114"/>
      <c r="B114" s="418"/>
      <c r="C114" s="133" t="s">
        <v>0</v>
      </c>
      <c r="D114" s="32">
        <f>SUM(D112:D113)</f>
        <v>1710</v>
      </c>
      <c r="E114" s="32">
        <f t="shared" ref="E114:M114" si="28">SUM(E112:E113)</f>
        <v>1763</v>
      </c>
      <c r="F114" s="32">
        <f t="shared" si="28"/>
        <v>2229</v>
      </c>
      <c r="G114" s="32">
        <f t="shared" si="28"/>
        <v>2341</v>
      </c>
      <c r="H114" s="32">
        <f t="shared" si="28"/>
        <v>2512</v>
      </c>
      <c r="I114" s="32">
        <f t="shared" si="28"/>
        <v>2518</v>
      </c>
      <c r="J114" s="32">
        <f t="shared" si="28"/>
        <v>2305</v>
      </c>
      <c r="K114" s="32">
        <f t="shared" si="28"/>
        <v>2369</v>
      </c>
      <c r="L114" s="32">
        <f t="shared" si="28"/>
        <v>2204</v>
      </c>
      <c r="M114" s="32">
        <f t="shared" si="28"/>
        <v>2490</v>
      </c>
      <c r="N114" s="32">
        <f>SUM(N112:N113)</f>
        <v>2401</v>
      </c>
      <c r="O114" s="32">
        <f>SUM(O112:O113)</f>
        <v>2022</v>
      </c>
      <c r="P114" s="33">
        <f t="shared" si="27"/>
        <v>26864</v>
      </c>
      <c r="Q114"/>
    </row>
    <row r="115" spans="1:18" ht="12.75" hidden="1" customHeight="1" x14ac:dyDescent="0.25">
      <c r="A115"/>
      <c r="B115" s="416" t="s">
        <v>4</v>
      </c>
      <c r="C115" s="129" t="s">
        <v>65</v>
      </c>
      <c r="D115" s="110">
        <v>252</v>
      </c>
      <c r="E115" s="110">
        <v>254</v>
      </c>
      <c r="F115" s="110">
        <v>211</v>
      </c>
      <c r="G115" s="110">
        <v>151</v>
      </c>
      <c r="H115" s="110">
        <v>156</v>
      </c>
      <c r="I115" s="110">
        <v>171</v>
      </c>
      <c r="J115" s="110">
        <v>226</v>
      </c>
      <c r="K115" s="110">
        <v>230</v>
      </c>
      <c r="L115" s="110">
        <v>202</v>
      </c>
      <c r="M115" s="110">
        <v>134</v>
      </c>
      <c r="N115" s="110">
        <v>206</v>
      </c>
      <c r="O115" s="110">
        <v>168</v>
      </c>
      <c r="P115" s="111">
        <f t="shared" si="27"/>
        <v>2361</v>
      </c>
      <c r="Q115"/>
    </row>
    <row r="116" spans="1:18" ht="12.75" hidden="1" customHeight="1" x14ac:dyDescent="0.25">
      <c r="A116"/>
      <c r="B116" s="417"/>
      <c r="C116" s="136" t="s">
        <v>67</v>
      </c>
      <c r="D116" s="99">
        <v>3494</v>
      </c>
      <c r="E116" s="99">
        <v>3256</v>
      </c>
      <c r="F116" s="99">
        <v>5298</v>
      </c>
      <c r="G116" s="99">
        <v>4966</v>
      </c>
      <c r="H116" s="99">
        <v>3647</v>
      </c>
      <c r="I116" s="99">
        <v>3690</v>
      </c>
      <c r="J116" s="99">
        <v>3143</v>
      </c>
      <c r="K116" s="99">
        <v>3488</v>
      </c>
      <c r="L116" s="99">
        <v>3898</v>
      </c>
      <c r="M116" s="99">
        <v>3951</v>
      </c>
      <c r="N116" s="99">
        <v>3487</v>
      </c>
      <c r="O116" s="99">
        <v>3536</v>
      </c>
      <c r="P116" s="100">
        <f t="shared" si="27"/>
        <v>45854</v>
      </c>
      <c r="Q116"/>
    </row>
    <row r="117" spans="1:18" ht="12.75" hidden="1" customHeight="1" x14ac:dyDescent="0.25">
      <c r="A117"/>
      <c r="B117" s="417"/>
      <c r="C117" s="131" t="s">
        <v>80</v>
      </c>
      <c r="D117" s="22">
        <v>768</v>
      </c>
      <c r="E117" s="23">
        <v>605</v>
      </c>
      <c r="F117" s="23">
        <v>715</v>
      </c>
      <c r="G117" s="23">
        <v>829</v>
      </c>
      <c r="H117" s="23">
        <v>866</v>
      </c>
      <c r="I117" s="23">
        <v>633</v>
      </c>
      <c r="J117" s="23">
        <v>594</v>
      </c>
      <c r="K117" s="23">
        <v>532</v>
      </c>
      <c r="L117" s="23">
        <v>551</v>
      </c>
      <c r="M117" s="23">
        <v>550</v>
      </c>
      <c r="N117" s="23">
        <v>683</v>
      </c>
      <c r="O117" s="23">
        <v>705</v>
      </c>
      <c r="P117" s="24">
        <f t="shared" si="27"/>
        <v>8031</v>
      </c>
      <c r="Q117"/>
    </row>
    <row r="118" spans="1:18" ht="12.75" hidden="1" customHeight="1" x14ac:dyDescent="0.25">
      <c r="A118"/>
      <c r="B118" s="417"/>
      <c r="C118" s="131" t="s">
        <v>134</v>
      </c>
      <c r="D118" s="22">
        <v>7</v>
      </c>
      <c r="E118" s="23">
        <v>10</v>
      </c>
      <c r="F118" s="23">
        <v>68</v>
      </c>
      <c r="G118" s="23">
        <v>88</v>
      </c>
      <c r="H118" s="23">
        <v>88</v>
      </c>
      <c r="I118" s="23">
        <v>54</v>
      </c>
      <c r="J118" s="23">
        <v>64</v>
      </c>
      <c r="K118" s="23">
        <v>33</v>
      </c>
      <c r="L118" s="23">
        <v>34</v>
      </c>
      <c r="M118" s="23">
        <v>42</v>
      </c>
      <c r="N118" s="23">
        <v>58</v>
      </c>
      <c r="O118" s="23">
        <v>44</v>
      </c>
      <c r="P118" s="24">
        <f t="shared" si="27"/>
        <v>590</v>
      </c>
      <c r="Q118"/>
    </row>
    <row r="119" spans="1:18" ht="12.75" hidden="1" customHeight="1" x14ac:dyDescent="0.25">
      <c r="A119"/>
      <c r="B119" s="417"/>
      <c r="C119" s="131" t="s">
        <v>110</v>
      </c>
      <c r="D119" s="22">
        <v>2232</v>
      </c>
      <c r="E119" s="23">
        <v>1805</v>
      </c>
      <c r="F119" s="23">
        <v>1243</v>
      </c>
      <c r="G119" s="23">
        <v>1666</v>
      </c>
      <c r="H119" s="23">
        <v>2066</v>
      </c>
      <c r="I119" s="23">
        <v>4693</v>
      </c>
      <c r="J119" s="23">
        <v>3839</v>
      </c>
      <c r="K119" s="23">
        <v>3879</v>
      </c>
      <c r="L119" s="23">
        <v>3343</v>
      </c>
      <c r="M119" s="23">
        <v>3950</v>
      </c>
      <c r="N119" s="23">
        <v>3155</v>
      </c>
      <c r="O119" s="23">
        <v>2598</v>
      </c>
      <c r="P119" s="24">
        <f t="shared" si="27"/>
        <v>34469</v>
      </c>
      <c r="Q119"/>
    </row>
    <row r="120" spans="1:18" ht="12.75" hidden="1" customHeight="1" x14ac:dyDescent="0.25">
      <c r="A120"/>
      <c r="B120" s="417"/>
      <c r="C120" s="131" t="s">
        <v>97</v>
      </c>
      <c r="D120" s="22">
        <v>4596</v>
      </c>
      <c r="E120" s="23">
        <v>4652</v>
      </c>
      <c r="F120" s="23">
        <v>4304</v>
      </c>
      <c r="G120" s="23">
        <v>4084</v>
      </c>
      <c r="H120" s="23">
        <v>3313</v>
      </c>
      <c r="I120" s="23">
        <v>2863</v>
      </c>
      <c r="J120" s="23">
        <v>2837</v>
      </c>
      <c r="K120" s="23">
        <v>2161</v>
      </c>
      <c r="L120" s="23">
        <v>2610</v>
      </c>
      <c r="M120" s="23">
        <v>2028</v>
      </c>
      <c r="N120" s="23">
        <v>3362</v>
      </c>
      <c r="O120" s="23">
        <v>2559</v>
      </c>
      <c r="P120" s="24">
        <f t="shared" si="27"/>
        <v>39369</v>
      </c>
      <c r="Q120"/>
    </row>
    <row r="121" spans="1:18" ht="12.75" hidden="1" customHeight="1" thickBot="1" x14ac:dyDescent="0.3">
      <c r="A121"/>
      <c r="B121" s="418"/>
      <c r="C121" s="31" t="s">
        <v>0</v>
      </c>
      <c r="D121" s="32">
        <f>SUM(D115:D120)</f>
        <v>11349</v>
      </c>
      <c r="E121" s="32">
        <f t="shared" ref="E121:M121" si="29">SUM(E115:E120)</f>
        <v>10582</v>
      </c>
      <c r="F121" s="32">
        <f t="shared" si="29"/>
        <v>11839</v>
      </c>
      <c r="G121" s="32">
        <f t="shared" si="29"/>
        <v>11784</v>
      </c>
      <c r="H121" s="32">
        <f t="shared" si="29"/>
        <v>10136</v>
      </c>
      <c r="I121" s="32">
        <f t="shared" si="29"/>
        <v>12104</v>
      </c>
      <c r="J121" s="32">
        <f t="shared" si="29"/>
        <v>10703</v>
      </c>
      <c r="K121" s="32">
        <f t="shared" si="29"/>
        <v>10323</v>
      </c>
      <c r="L121" s="32">
        <f t="shared" si="29"/>
        <v>10638</v>
      </c>
      <c r="M121" s="32">
        <f t="shared" si="29"/>
        <v>10655</v>
      </c>
      <c r="N121" s="32">
        <f>SUM(N115:N120)</f>
        <v>10951</v>
      </c>
      <c r="O121" s="32">
        <f>SUM(O115:O120)</f>
        <v>9610</v>
      </c>
      <c r="P121" s="209">
        <f t="shared" si="27"/>
        <v>130674</v>
      </c>
      <c r="Q121"/>
    </row>
    <row r="122" spans="1:18" ht="12.75" hidden="1" customHeight="1" thickBot="1" x14ac:dyDescent="0.3">
      <c r="A122"/>
      <c r="B122" s="419" t="s">
        <v>2</v>
      </c>
      <c r="C122" s="420"/>
      <c r="D122" s="34">
        <f t="shared" ref="D122:P122" si="30">SUM(D98,D107,D111,D114,D121)</f>
        <v>49810</v>
      </c>
      <c r="E122" s="34">
        <f t="shared" si="30"/>
        <v>47653</v>
      </c>
      <c r="F122" s="34">
        <f t="shared" si="30"/>
        <v>62504</v>
      </c>
      <c r="G122" s="34">
        <f t="shared" si="30"/>
        <v>63733</v>
      </c>
      <c r="H122" s="34">
        <f t="shared" si="30"/>
        <v>62200</v>
      </c>
      <c r="I122" s="34">
        <f t="shared" si="30"/>
        <v>59804</v>
      </c>
      <c r="J122" s="34">
        <f t="shared" si="30"/>
        <v>56009</v>
      </c>
      <c r="K122" s="34">
        <f t="shared" si="30"/>
        <v>58087</v>
      </c>
      <c r="L122" s="34">
        <f t="shared" si="30"/>
        <v>55805</v>
      </c>
      <c r="M122" s="34">
        <f t="shared" si="30"/>
        <v>64912</v>
      </c>
      <c r="N122" s="34">
        <f t="shared" si="30"/>
        <v>63170</v>
      </c>
      <c r="O122" s="34">
        <f t="shared" si="30"/>
        <v>61323</v>
      </c>
      <c r="P122" s="210">
        <f t="shared" si="30"/>
        <v>705010</v>
      </c>
      <c r="Q122"/>
    </row>
    <row r="123" spans="1:18" ht="4.5" hidden="1" customHeight="1" x14ac:dyDescent="0.25">
      <c r="A123"/>
      <c r="J123" s="92"/>
      <c r="Q123"/>
    </row>
    <row r="124" spans="1:18" ht="9.65" hidden="1" customHeight="1" x14ac:dyDescent="0.25">
      <c r="A124"/>
      <c r="B124" s="63" t="s">
        <v>20</v>
      </c>
      <c r="C124" s="64"/>
      <c r="D124" s="65">
        <f>SUM(D125:D127)</f>
        <v>4438</v>
      </c>
      <c r="E124" s="65">
        <f t="shared" ref="E124:O124" si="31">SUM(E125:E127)</f>
        <v>2292</v>
      </c>
      <c r="F124" s="65">
        <f t="shared" si="31"/>
        <v>4188</v>
      </c>
      <c r="G124" s="65">
        <f t="shared" si="31"/>
        <v>5806</v>
      </c>
      <c r="H124" s="65">
        <f t="shared" si="31"/>
        <v>5793</v>
      </c>
      <c r="I124" s="65">
        <f t="shared" si="31"/>
        <v>4806</v>
      </c>
      <c r="J124" s="65">
        <f t="shared" si="31"/>
        <v>3975</v>
      </c>
      <c r="K124" s="65">
        <f t="shared" si="31"/>
        <v>3939</v>
      </c>
      <c r="L124" s="65">
        <f t="shared" si="31"/>
        <v>3747</v>
      </c>
      <c r="M124" s="65">
        <f t="shared" si="31"/>
        <v>5992</v>
      </c>
      <c r="N124" s="65">
        <f t="shared" si="31"/>
        <v>5452</v>
      </c>
      <c r="O124" s="65">
        <f t="shared" si="31"/>
        <v>6462</v>
      </c>
      <c r="P124" s="65">
        <f>SUM(P125:P127)</f>
        <v>56890</v>
      </c>
      <c r="R124" s="206"/>
    </row>
    <row r="125" spans="1:18" ht="9.75" hidden="1" customHeight="1" x14ac:dyDescent="0.25">
      <c r="A125"/>
      <c r="B125" s="67"/>
      <c r="C125" s="68" t="s">
        <v>102</v>
      </c>
      <c r="D125" s="79">
        <v>3994</v>
      </c>
      <c r="E125" s="79">
        <v>1828</v>
      </c>
      <c r="F125" s="69">
        <v>3651</v>
      </c>
      <c r="G125" s="80">
        <v>5131</v>
      </c>
      <c r="H125" s="69">
        <v>5226</v>
      </c>
      <c r="I125" s="77">
        <v>4196</v>
      </c>
      <c r="J125" s="78">
        <v>3458</v>
      </c>
      <c r="K125" s="72">
        <v>3450</v>
      </c>
      <c r="L125" s="72">
        <v>3290</v>
      </c>
      <c r="M125" s="72">
        <v>5411</v>
      </c>
      <c r="N125" s="72">
        <v>4787</v>
      </c>
      <c r="O125" s="72">
        <v>5766</v>
      </c>
      <c r="P125" s="203">
        <f>SUM(D125:O125)</f>
        <v>50188</v>
      </c>
    </row>
    <row r="126" spans="1:18" ht="9.75" hidden="1" customHeight="1" x14ac:dyDescent="0.25">
      <c r="A126"/>
      <c r="B126" s="67"/>
      <c r="C126" s="68" t="s">
        <v>103</v>
      </c>
      <c r="D126" s="69">
        <v>398</v>
      </c>
      <c r="E126" s="69">
        <v>402</v>
      </c>
      <c r="F126" s="69">
        <v>462</v>
      </c>
      <c r="G126" s="69">
        <v>567</v>
      </c>
      <c r="H126" s="69">
        <v>432</v>
      </c>
      <c r="I126" s="69">
        <v>468</v>
      </c>
      <c r="J126" s="69">
        <v>415</v>
      </c>
      <c r="K126" s="69">
        <v>435</v>
      </c>
      <c r="L126" s="69">
        <v>396</v>
      </c>
      <c r="M126" s="69">
        <v>517</v>
      </c>
      <c r="N126" s="69">
        <v>496</v>
      </c>
      <c r="O126" s="69">
        <v>617</v>
      </c>
      <c r="P126" s="203">
        <f>SUM(D126:O126)</f>
        <v>5605</v>
      </c>
    </row>
    <row r="127" spans="1:18" ht="9.75" hidden="1" customHeight="1" x14ac:dyDescent="0.25">
      <c r="A127"/>
      <c r="B127" s="71"/>
      <c r="C127" s="68" t="s">
        <v>154</v>
      </c>
      <c r="D127" s="69">
        <v>46</v>
      </c>
      <c r="E127" s="69">
        <v>62</v>
      </c>
      <c r="F127" s="69">
        <v>75</v>
      </c>
      <c r="G127" s="69">
        <v>108</v>
      </c>
      <c r="H127" s="69">
        <v>135</v>
      </c>
      <c r="I127" s="69">
        <v>142</v>
      </c>
      <c r="J127" s="69">
        <v>102</v>
      </c>
      <c r="K127" s="69">
        <v>54</v>
      </c>
      <c r="L127" s="69">
        <v>61</v>
      </c>
      <c r="M127" s="69">
        <v>64</v>
      </c>
      <c r="N127" s="69">
        <v>169</v>
      </c>
      <c r="O127" s="69">
        <v>79</v>
      </c>
      <c r="P127" s="203">
        <f>SUM(D127:O127)</f>
        <v>1097</v>
      </c>
    </row>
    <row r="128" spans="1:18" ht="4.5" hidden="1" customHeight="1" x14ac:dyDescent="0.25">
      <c r="A128"/>
      <c r="J128" s="92"/>
      <c r="Q128"/>
    </row>
    <row r="129" spans="1:16" ht="10.25" hidden="1" customHeight="1" x14ac:dyDescent="0.25">
      <c r="A129"/>
      <c r="B129" s="73" t="s">
        <v>21</v>
      </c>
      <c r="C129" s="74"/>
      <c r="D129" s="65">
        <f t="shared" ref="D129:P129" si="32">SUM(D130:D133)</f>
        <v>496</v>
      </c>
      <c r="E129" s="65">
        <f t="shared" si="32"/>
        <v>1423</v>
      </c>
      <c r="F129" s="65">
        <f t="shared" si="32"/>
        <v>4078</v>
      </c>
      <c r="G129" s="65">
        <f t="shared" si="32"/>
        <v>4695</v>
      </c>
      <c r="H129" s="65">
        <f t="shared" si="32"/>
        <v>5820</v>
      </c>
      <c r="I129" s="65">
        <f t="shared" si="32"/>
        <v>5712</v>
      </c>
      <c r="J129" s="65">
        <f t="shared" si="32"/>
        <v>5532</v>
      </c>
      <c r="K129" s="65">
        <f t="shared" si="32"/>
        <v>6317</v>
      </c>
      <c r="L129" s="65">
        <f t="shared" si="32"/>
        <v>4890</v>
      </c>
      <c r="M129" s="65">
        <f t="shared" si="32"/>
        <v>5047</v>
      </c>
      <c r="N129" s="65">
        <f t="shared" si="32"/>
        <v>6658</v>
      </c>
      <c r="O129" s="65">
        <f t="shared" si="32"/>
        <v>6687</v>
      </c>
      <c r="P129" s="65">
        <f t="shared" si="32"/>
        <v>57355</v>
      </c>
    </row>
    <row r="130" spans="1:16" ht="9.9" hidden="1" customHeight="1" x14ac:dyDescent="0.25">
      <c r="A130"/>
      <c r="B130" s="67"/>
      <c r="C130" s="68" t="s">
        <v>40</v>
      </c>
      <c r="D130" s="93">
        <v>0</v>
      </c>
      <c r="E130" s="93">
        <v>26</v>
      </c>
      <c r="F130" s="93">
        <v>4</v>
      </c>
      <c r="G130" s="69">
        <v>0</v>
      </c>
      <c r="H130" s="69">
        <v>0</v>
      </c>
      <c r="I130" s="69">
        <v>0</v>
      </c>
      <c r="J130" s="69">
        <v>0</v>
      </c>
      <c r="K130" s="69">
        <v>0</v>
      </c>
      <c r="L130" s="69">
        <v>0</v>
      </c>
      <c r="M130" s="69">
        <v>0</v>
      </c>
      <c r="N130" s="69">
        <v>0</v>
      </c>
      <c r="O130" s="69">
        <v>0</v>
      </c>
      <c r="P130" s="202">
        <f>SUM(D130:O130)</f>
        <v>30</v>
      </c>
    </row>
    <row r="131" spans="1:16" ht="9.9" hidden="1" customHeight="1" x14ac:dyDescent="0.25">
      <c r="A131"/>
      <c r="B131" s="67"/>
      <c r="C131" s="68" t="s">
        <v>85</v>
      </c>
      <c r="D131" s="69">
        <v>379</v>
      </c>
      <c r="E131" s="69">
        <v>1187</v>
      </c>
      <c r="F131" s="69">
        <v>3298</v>
      </c>
      <c r="G131" s="69">
        <v>3307</v>
      </c>
      <c r="H131" s="69">
        <v>3207</v>
      </c>
      <c r="I131" s="69">
        <v>2234</v>
      </c>
      <c r="J131" s="69">
        <v>2412</v>
      </c>
      <c r="K131" s="69">
        <v>2239</v>
      </c>
      <c r="L131" s="69">
        <v>2296</v>
      </c>
      <c r="M131" s="69">
        <v>2199</v>
      </c>
      <c r="N131" s="69">
        <v>3133</v>
      </c>
      <c r="O131" s="69">
        <v>3487</v>
      </c>
      <c r="P131" s="202">
        <f>SUM(D131:O131)</f>
        <v>29378</v>
      </c>
    </row>
    <row r="132" spans="1:16" ht="9.9" hidden="1" customHeight="1" x14ac:dyDescent="0.25">
      <c r="A132"/>
      <c r="B132" s="67"/>
      <c r="C132" s="68" t="s">
        <v>88</v>
      </c>
      <c r="D132" s="69">
        <v>117</v>
      </c>
      <c r="E132" s="69">
        <v>210</v>
      </c>
      <c r="F132" s="69">
        <v>776</v>
      </c>
      <c r="G132" s="69">
        <v>786</v>
      </c>
      <c r="H132" s="69">
        <v>778</v>
      </c>
      <c r="I132" s="69">
        <v>814</v>
      </c>
      <c r="J132" s="69">
        <v>695</v>
      </c>
      <c r="K132" s="69">
        <v>956</v>
      </c>
      <c r="L132" s="69">
        <v>1043</v>
      </c>
      <c r="M132" s="69">
        <v>1194</v>
      </c>
      <c r="N132" s="69">
        <v>1186</v>
      </c>
      <c r="O132" s="69">
        <v>1348</v>
      </c>
      <c r="P132" s="202">
        <f>SUM(D132:O132)</f>
        <v>9903</v>
      </c>
    </row>
    <row r="133" spans="1:16" ht="9.9" hidden="1" customHeight="1" x14ac:dyDescent="0.25">
      <c r="A133"/>
      <c r="B133" s="71"/>
      <c r="C133" s="68" t="s">
        <v>169</v>
      </c>
      <c r="D133" s="69">
        <v>0</v>
      </c>
      <c r="E133" s="69">
        <v>0</v>
      </c>
      <c r="F133" s="69">
        <v>0</v>
      </c>
      <c r="G133" s="69">
        <v>602</v>
      </c>
      <c r="H133" s="69">
        <v>1835</v>
      </c>
      <c r="I133" s="69">
        <v>2664</v>
      </c>
      <c r="J133" s="69">
        <v>2425</v>
      </c>
      <c r="K133" s="69">
        <v>3122</v>
      </c>
      <c r="L133" s="69">
        <v>1551</v>
      </c>
      <c r="M133" s="69">
        <v>1654</v>
      </c>
      <c r="N133" s="69">
        <v>2339</v>
      </c>
      <c r="O133" s="69">
        <v>1852</v>
      </c>
      <c r="P133" s="202">
        <f>SUM(D133:O133)</f>
        <v>18044</v>
      </c>
    </row>
    <row r="134" spans="1:16" ht="6" hidden="1" customHeight="1" x14ac:dyDescent="0.25">
      <c r="A134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6"/>
    </row>
    <row r="135" spans="1:16" ht="11.4" hidden="1" customHeight="1" x14ac:dyDescent="0.25">
      <c r="A135"/>
      <c r="B135" s="63" t="s">
        <v>23</v>
      </c>
      <c r="C135" s="64"/>
      <c r="D135" s="65">
        <f t="shared" ref="D135:P135" si="33">SUM(D136:D137)</f>
        <v>3635</v>
      </c>
      <c r="E135" s="65">
        <f t="shared" si="33"/>
        <v>3963</v>
      </c>
      <c r="F135" s="65">
        <f t="shared" si="33"/>
        <v>6100</v>
      </c>
      <c r="G135" s="65">
        <f t="shared" si="33"/>
        <v>7085</v>
      </c>
      <c r="H135" s="65">
        <f t="shared" si="33"/>
        <v>6884</v>
      </c>
      <c r="I135" s="65">
        <f t="shared" si="33"/>
        <v>5703</v>
      </c>
      <c r="J135" s="65">
        <f t="shared" si="33"/>
        <v>6287</v>
      </c>
      <c r="K135" s="65">
        <f t="shared" si="33"/>
        <v>6187</v>
      </c>
      <c r="L135" s="65">
        <f t="shared" si="33"/>
        <v>6120</v>
      </c>
      <c r="M135" s="65">
        <f t="shared" si="33"/>
        <v>7433</v>
      </c>
      <c r="N135" s="65">
        <f t="shared" si="33"/>
        <v>5047</v>
      </c>
      <c r="O135" s="65">
        <f t="shared" si="33"/>
        <v>7212</v>
      </c>
      <c r="P135" s="65">
        <f t="shared" si="33"/>
        <v>71656</v>
      </c>
    </row>
    <row r="136" spans="1:16" ht="9.75" hidden="1" customHeight="1" x14ac:dyDescent="0.25">
      <c r="A136"/>
      <c r="B136" s="67"/>
      <c r="C136" s="102" t="s">
        <v>146</v>
      </c>
      <c r="D136" s="103">
        <v>1458</v>
      </c>
      <c r="E136" s="103">
        <v>1960</v>
      </c>
      <c r="F136" s="104">
        <v>3130</v>
      </c>
      <c r="G136" s="105">
        <v>3585</v>
      </c>
      <c r="H136" s="104">
        <v>3664</v>
      </c>
      <c r="I136" s="106">
        <v>2488</v>
      </c>
      <c r="J136" s="106">
        <v>2775</v>
      </c>
      <c r="K136" s="104">
        <v>2674</v>
      </c>
      <c r="L136" s="104">
        <v>2509</v>
      </c>
      <c r="M136" s="104">
        <v>2949</v>
      </c>
      <c r="N136" s="104">
        <v>2680</v>
      </c>
      <c r="O136" s="104">
        <v>3515</v>
      </c>
      <c r="P136" s="202">
        <f>SUM(D136:O136)</f>
        <v>33387</v>
      </c>
    </row>
    <row r="137" spans="1:16" ht="9.75" hidden="1" customHeight="1" x14ac:dyDescent="0.25">
      <c r="A137"/>
      <c r="B137" s="71"/>
      <c r="C137" s="68" t="s">
        <v>147</v>
      </c>
      <c r="D137" s="69">
        <v>2177</v>
      </c>
      <c r="E137" s="69">
        <v>2003</v>
      </c>
      <c r="F137" s="69">
        <v>2970</v>
      </c>
      <c r="G137" s="69">
        <v>3500</v>
      </c>
      <c r="H137" s="69">
        <v>3220</v>
      </c>
      <c r="I137" s="69">
        <v>3215</v>
      </c>
      <c r="J137" s="69">
        <v>3512</v>
      </c>
      <c r="K137" s="69">
        <v>3513</v>
      </c>
      <c r="L137" s="69">
        <v>3611</v>
      </c>
      <c r="M137" s="69">
        <v>4484</v>
      </c>
      <c r="N137" s="69">
        <v>2367</v>
      </c>
      <c r="O137" s="69">
        <v>3697</v>
      </c>
      <c r="P137" s="202">
        <f>SUM(D137:O137)</f>
        <v>38269</v>
      </c>
    </row>
    <row r="138" spans="1:16" ht="6" hidden="1" customHeight="1" x14ac:dyDescent="0.25">
      <c r="A138"/>
      <c r="D138" s="75"/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6"/>
    </row>
    <row r="139" spans="1:16" ht="9.9" hidden="1" customHeight="1" x14ac:dyDescent="0.25">
      <c r="B139" s="63" t="s">
        <v>131</v>
      </c>
      <c r="C139" s="64"/>
      <c r="D139" s="65">
        <f>SUM(D140:D141)</f>
        <v>3006</v>
      </c>
      <c r="E139" s="65">
        <f>SUM(E140:E141)</f>
        <v>3118</v>
      </c>
      <c r="F139" s="65">
        <f t="shared" ref="F139:P139" si="34">SUM(F140:F141)</f>
        <v>3442</v>
      </c>
      <c r="G139" s="65">
        <f t="shared" si="34"/>
        <v>3549</v>
      </c>
      <c r="H139" s="65">
        <f t="shared" si="34"/>
        <v>3861</v>
      </c>
      <c r="I139" s="65">
        <f t="shared" si="34"/>
        <v>3352</v>
      </c>
      <c r="J139" s="65">
        <f t="shared" si="34"/>
        <v>3425</v>
      </c>
      <c r="K139" s="65">
        <f t="shared" si="34"/>
        <v>5031</v>
      </c>
      <c r="L139" s="65">
        <f t="shared" si="34"/>
        <v>4002</v>
      </c>
      <c r="M139" s="65">
        <f t="shared" si="34"/>
        <v>3620</v>
      </c>
      <c r="N139" s="65">
        <f t="shared" si="34"/>
        <v>3745</v>
      </c>
      <c r="O139" s="65">
        <f t="shared" si="34"/>
        <v>1637</v>
      </c>
      <c r="P139" s="65">
        <f t="shared" si="34"/>
        <v>41788</v>
      </c>
    </row>
    <row r="140" spans="1:16" ht="9.9" hidden="1" customHeight="1" x14ac:dyDescent="0.25">
      <c r="B140" s="67"/>
      <c r="C140" s="68" t="s">
        <v>173</v>
      </c>
      <c r="D140" s="79">
        <v>3006</v>
      </c>
      <c r="E140" s="79">
        <v>3118</v>
      </c>
      <c r="F140" s="69">
        <v>3442</v>
      </c>
      <c r="G140" s="80">
        <v>3549</v>
      </c>
      <c r="H140" s="69">
        <v>3861</v>
      </c>
      <c r="I140" s="77">
        <v>3352</v>
      </c>
      <c r="J140" s="77">
        <v>3425</v>
      </c>
      <c r="K140" s="69">
        <v>3592</v>
      </c>
      <c r="L140" s="69">
        <v>1927</v>
      </c>
      <c r="M140" s="69">
        <v>1434</v>
      </c>
      <c r="N140" s="69">
        <v>2014</v>
      </c>
      <c r="O140" s="69">
        <v>1197</v>
      </c>
      <c r="P140" s="203">
        <f>SUM(D140:O140)</f>
        <v>33917</v>
      </c>
    </row>
    <row r="141" spans="1:16" ht="9.9" hidden="1" customHeight="1" x14ac:dyDescent="0.25">
      <c r="B141" s="71"/>
      <c r="C141" s="68" t="s">
        <v>174</v>
      </c>
      <c r="D141" s="79">
        <v>0</v>
      </c>
      <c r="E141" s="79">
        <v>0</v>
      </c>
      <c r="F141" s="69">
        <v>0</v>
      </c>
      <c r="G141" s="80">
        <v>0</v>
      </c>
      <c r="H141" s="69">
        <v>0</v>
      </c>
      <c r="I141" s="77">
        <v>0</v>
      </c>
      <c r="J141" s="77">
        <v>0</v>
      </c>
      <c r="K141" s="69">
        <v>1439</v>
      </c>
      <c r="L141" s="69">
        <v>2075</v>
      </c>
      <c r="M141" s="69">
        <v>2186</v>
      </c>
      <c r="N141" s="69">
        <v>1731</v>
      </c>
      <c r="O141" s="69">
        <v>440</v>
      </c>
      <c r="P141" s="203">
        <f>SUM(D141:O141)</f>
        <v>7871</v>
      </c>
    </row>
    <row r="142" spans="1:16" ht="6" hidden="1" customHeight="1" x14ac:dyDescent="0.25">
      <c r="A142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</row>
    <row r="143" spans="1:16" ht="9.9" hidden="1" customHeight="1" x14ac:dyDescent="0.25">
      <c r="B143" s="63" t="s">
        <v>63</v>
      </c>
      <c r="C143" s="64"/>
      <c r="D143" s="65">
        <f t="shared" ref="D143:P143" si="35">SUM(D144:D146)</f>
        <v>1976</v>
      </c>
      <c r="E143" s="65">
        <f t="shared" si="35"/>
        <v>1455</v>
      </c>
      <c r="F143" s="65">
        <f t="shared" si="35"/>
        <v>2747</v>
      </c>
      <c r="G143" s="65">
        <f t="shared" si="35"/>
        <v>2736</v>
      </c>
      <c r="H143" s="65">
        <f t="shared" si="35"/>
        <v>2773</v>
      </c>
      <c r="I143" s="65">
        <f t="shared" si="35"/>
        <v>2593</v>
      </c>
      <c r="J143" s="65">
        <f t="shared" si="35"/>
        <v>2414</v>
      </c>
      <c r="K143" s="65">
        <f t="shared" si="35"/>
        <v>2135</v>
      </c>
      <c r="L143" s="65">
        <f t="shared" si="35"/>
        <v>2661</v>
      </c>
      <c r="M143" s="65">
        <f t="shared" si="35"/>
        <v>2329</v>
      </c>
      <c r="N143" s="65">
        <f t="shared" si="35"/>
        <v>2034</v>
      </c>
      <c r="O143" s="65">
        <f t="shared" si="35"/>
        <v>2606</v>
      </c>
      <c r="P143" s="65">
        <f t="shared" si="35"/>
        <v>28459</v>
      </c>
    </row>
    <row r="144" spans="1:16" ht="9.9" hidden="1" customHeight="1" x14ac:dyDescent="0.25">
      <c r="B144" s="67"/>
      <c r="C144" s="68" t="s">
        <v>150</v>
      </c>
      <c r="D144" s="79">
        <v>1289</v>
      </c>
      <c r="E144" s="79">
        <v>994</v>
      </c>
      <c r="F144" s="69">
        <v>1943</v>
      </c>
      <c r="G144" s="80">
        <v>2046</v>
      </c>
      <c r="H144" s="69">
        <v>1826</v>
      </c>
      <c r="I144" s="77">
        <v>1694</v>
      </c>
      <c r="J144" s="77">
        <v>1385</v>
      </c>
      <c r="K144" s="69">
        <v>1171</v>
      </c>
      <c r="L144" s="69">
        <v>1148</v>
      </c>
      <c r="M144" s="69">
        <v>1330</v>
      </c>
      <c r="N144" s="69">
        <v>1052</v>
      </c>
      <c r="O144" s="69">
        <v>1714</v>
      </c>
      <c r="P144" s="203">
        <f t="shared" ref="P144:P146" si="36">SUM(D144:O144)</f>
        <v>17592</v>
      </c>
    </row>
    <row r="145" spans="1:17" ht="9.9" hidden="1" customHeight="1" x14ac:dyDescent="0.25">
      <c r="B145" s="67"/>
      <c r="C145" s="68" t="s">
        <v>151</v>
      </c>
      <c r="D145" s="79">
        <v>683</v>
      </c>
      <c r="E145" s="79">
        <v>403</v>
      </c>
      <c r="F145" s="69">
        <v>452</v>
      </c>
      <c r="G145" s="80">
        <v>482</v>
      </c>
      <c r="H145" s="69">
        <v>694</v>
      </c>
      <c r="I145" s="77">
        <v>653</v>
      </c>
      <c r="J145" s="77">
        <v>521</v>
      </c>
      <c r="K145" s="69">
        <v>701</v>
      </c>
      <c r="L145" s="69">
        <v>881</v>
      </c>
      <c r="M145" s="69">
        <v>810</v>
      </c>
      <c r="N145" s="69">
        <v>749</v>
      </c>
      <c r="O145" s="69">
        <v>834</v>
      </c>
      <c r="P145" s="203">
        <f t="shared" si="36"/>
        <v>7863</v>
      </c>
    </row>
    <row r="146" spans="1:17" ht="9.9" hidden="1" customHeight="1" x14ac:dyDescent="0.25">
      <c r="B146" s="71"/>
      <c r="C146" s="68" t="s">
        <v>155</v>
      </c>
      <c r="D146" s="79">
        <v>4</v>
      </c>
      <c r="E146" s="79">
        <v>58</v>
      </c>
      <c r="F146" s="69">
        <v>352</v>
      </c>
      <c r="G146" s="80">
        <v>208</v>
      </c>
      <c r="H146" s="69">
        <v>253</v>
      </c>
      <c r="I146" s="77">
        <v>246</v>
      </c>
      <c r="J146" s="77">
        <v>508</v>
      </c>
      <c r="K146" s="69">
        <v>263</v>
      </c>
      <c r="L146" s="69">
        <v>632</v>
      </c>
      <c r="M146" s="69">
        <v>189</v>
      </c>
      <c r="N146" s="69">
        <v>233</v>
      </c>
      <c r="O146" s="69">
        <v>58</v>
      </c>
      <c r="P146" s="203">
        <f t="shared" si="36"/>
        <v>3004</v>
      </c>
    </row>
    <row r="147" spans="1:17" ht="6.65" hidden="1" customHeight="1" x14ac:dyDescent="0.25"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76"/>
    </row>
    <row r="148" spans="1:17" ht="9.9" hidden="1" customHeight="1" x14ac:dyDescent="0.25">
      <c r="B148" s="63" t="s">
        <v>43</v>
      </c>
      <c r="C148" s="64"/>
      <c r="D148" s="65">
        <f>SUM(D149:D150)</f>
        <v>5152</v>
      </c>
      <c r="E148" s="65">
        <f>SUM(E149:E150)</f>
        <v>3070</v>
      </c>
      <c r="F148" s="65">
        <f t="shared" ref="F148:P148" si="37">SUM(F149:F150)</f>
        <v>3524</v>
      </c>
      <c r="G148" s="65">
        <f t="shared" si="37"/>
        <v>4262</v>
      </c>
      <c r="H148" s="65">
        <f t="shared" si="37"/>
        <v>4838</v>
      </c>
      <c r="I148" s="65">
        <f t="shared" si="37"/>
        <v>4216</v>
      </c>
      <c r="J148" s="65">
        <f t="shared" si="37"/>
        <v>3124</v>
      </c>
      <c r="K148" s="65">
        <f t="shared" si="37"/>
        <v>3965</v>
      </c>
      <c r="L148" s="65">
        <f t="shared" si="37"/>
        <v>4553</v>
      </c>
      <c r="M148" s="65">
        <f t="shared" si="37"/>
        <v>6365</v>
      </c>
      <c r="N148" s="65">
        <f t="shared" si="37"/>
        <v>5583</v>
      </c>
      <c r="O148" s="65">
        <f t="shared" si="37"/>
        <v>6605</v>
      </c>
      <c r="P148" s="65">
        <f t="shared" si="37"/>
        <v>55257</v>
      </c>
    </row>
    <row r="149" spans="1:17" ht="9.9" hidden="1" customHeight="1" x14ac:dyDescent="0.25">
      <c r="B149" s="67"/>
      <c r="C149" s="68" t="s">
        <v>105</v>
      </c>
      <c r="D149" s="79">
        <v>2657</v>
      </c>
      <c r="E149" s="79">
        <v>1464</v>
      </c>
      <c r="F149" s="69">
        <v>1591</v>
      </c>
      <c r="G149" s="80">
        <v>1817</v>
      </c>
      <c r="H149" s="69">
        <v>2987</v>
      </c>
      <c r="I149" s="77">
        <v>2592</v>
      </c>
      <c r="J149" s="77">
        <v>1937</v>
      </c>
      <c r="K149" s="69">
        <v>1649</v>
      </c>
      <c r="L149" s="69">
        <v>1652</v>
      </c>
      <c r="M149" s="69">
        <v>2835</v>
      </c>
      <c r="N149" s="69">
        <v>2523</v>
      </c>
      <c r="O149" s="69">
        <v>2973</v>
      </c>
      <c r="P149" s="203">
        <f>SUM(D149:O149)</f>
        <v>26677</v>
      </c>
    </row>
    <row r="150" spans="1:17" ht="9.9" hidden="1" customHeight="1" x14ac:dyDescent="0.25">
      <c r="B150" s="71"/>
      <c r="C150" s="68" t="s">
        <v>106</v>
      </c>
      <c r="D150" s="79">
        <v>2495</v>
      </c>
      <c r="E150" s="79">
        <v>1606</v>
      </c>
      <c r="F150" s="69">
        <v>1933</v>
      </c>
      <c r="G150" s="80">
        <v>2445</v>
      </c>
      <c r="H150" s="69">
        <v>1851</v>
      </c>
      <c r="I150" s="77">
        <v>1624</v>
      </c>
      <c r="J150" s="77">
        <v>1187</v>
      </c>
      <c r="K150" s="69">
        <v>2316</v>
      </c>
      <c r="L150" s="69">
        <v>2901</v>
      </c>
      <c r="M150" s="69">
        <v>3530</v>
      </c>
      <c r="N150" s="69">
        <v>3060</v>
      </c>
      <c r="O150" s="69">
        <v>3632</v>
      </c>
      <c r="P150" s="203">
        <f>SUM(D150:O150)</f>
        <v>28580</v>
      </c>
    </row>
    <row r="151" spans="1:17" ht="6.65" hidden="1" customHeight="1" x14ac:dyDescent="0.25"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76"/>
    </row>
    <row r="152" spans="1:17" ht="9.9" hidden="1" customHeight="1" x14ac:dyDescent="0.25">
      <c r="B152" s="63" t="s">
        <v>5</v>
      </c>
      <c r="C152" s="64"/>
      <c r="D152" s="197">
        <f t="shared" ref="D152:P152" si="38">SUM(D153:D155)</f>
        <v>8016</v>
      </c>
      <c r="E152" s="197">
        <f t="shared" si="38"/>
        <v>7413</v>
      </c>
      <c r="F152" s="197">
        <f t="shared" si="38"/>
        <v>7884</v>
      </c>
      <c r="G152" s="197">
        <f t="shared" si="38"/>
        <v>5847</v>
      </c>
      <c r="H152" s="197">
        <f t="shared" si="38"/>
        <v>5605</v>
      </c>
      <c r="I152" s="197">
        <f t="shared" si="38"/>
        <v>5000</v>
      </c>
      <c r="J152" s="197">
        <f t="shared" si="38"/>
        <v>5248</v>
      </c>
      <c r="K152" s="197">
        <f t="shared" si="38"/>
        <v>5715</v>
      </c>
      <c r="L152" s="197">
        <f t="shared" si="38"/>
        <v>5314</v>
      </c>
      <c r="M152" s="197">
        <f t="shared" si="38"/>
        <v>7294</v>
      </c>
      <c r="N152" s="197">
        <f t="shared" si="38"/>
        <v>7576</v>
      </c>
      <c r="O152" s="197">
        <f t="shared" si="38"/>
        <v>6249</v>
      </c>
      <c r="P152" s="197">
        <f t="shared" si="38"/>
        <v>77161</v>
      </c>
    </row>
    <row r="153" spans="1:17" ht="9.9" hidden="1" customHeight="1" x14ac:dyDescent="0.25">
      <c r="B153" s="67"/>
      <c r="C153" s="68" t="s">
        <v>72</v>
      </c>
      <c r="D153" s="69">
        <v>2</v>
      </c>
      <c r="E153" s="69">
        <v>0</v>
      </c>
      <c r="F153" s="69">
        <v>0</v>
      </c>
      <c r="G153" s="69">
        <v>0</v>
      </c>
      <c r="H153" s="69">
        <v>0</v>
      </c>
      <c r="I153" s="69">
        <v>0</v>
      </c>
      <c r="J153" s="77">
        <v>0</v>
      </c>
      <c r="K153" s="69">
        <v>0</v>
      </c>
      <c r="L153" s="69">
        <v>0</v>
      </c>
      <c r="M153" s="69">
        <v>0</v>
      </c>
      <c r="N153" s="69">
        <v>0</v>
      </c>
      <c r="O153" s="69">
        <v>0</v>
      </c>
      <c r="P153" s="203">
        <f>SUM(D153:O153)</f>
        <v>2</v>
      </c>
    </row>
    <row r="154" spans="1:17" ht="9.9" hidden="1" customHeight="1" x14ac:dyDescent="0.25">
      <c r="B154" s="67"/>
      <c r="C154" s="68" t="s">
        <v>156</v>
      </c>
      <c r="D154" s="198">
        <v>2986</v>
      </c>
      <c r="E154" s="198">
        <v>2441</v>
      </c>
      <c r="F154" s="199">
        <v>1903</v>
      </c>
      <c r="G154" s="200">
        <v>2077</v>
      </c>
      <c r="H154" s="199">
        <v>1709</v>
      </c>
      <c r="I154" s="201">
        <v>1460</v>
      </c>
      <c r="J154" s="77">
        <v>1367</v>
      </c>
      <c r="K154" s="69">
        <v>1347</v>
      </c>
      <c r="L154" s="69">
        <v>1237</v>
      </c>
      <c r="M154" s="69">
        <v>1553</v>
      </c>
      <c r="N154" s="69">
        <v>2183</v>
      </c>
      <c r="O154" s="69">
        <v>1049</v>
      </c>
      <c r="P154" s="203">
        <f>SUM(D154:O154)</f>
        <v>21312</v>
      </c>
    </row>
    <row r="155" spans="1:17" ht="9.9" hidden="1" customHeight="1" x14ac:dyDescent="0.25">
      <c r="B155" s="71"/>
      <c r="C155" s="68" t="s">
        <v>157</v>
      </c>
      <c r="D155" s="198">
        <v>5028</v>
      </c>
      <c r="E155" s="198">
        <v>4972</v>
      </c>
      <c r="F155" s="199">
        <v>5981</v>
      </c>
      <c r="G155" s="200">
        <v>3770</v>
      </c>
      <c r="H155" s="199">
        <v>3896</v>
      </c>
      <c r="I155" s="201">
        <v>3540</v>
      </c>
      <c r="J155" s="77">
        <v>3881</v>
      </c>
      <c r="K155" s="69">
        <v>4368</v>
      </c>
      <c r="L155" s="69">
        <v>4077</v>
      </c>
      <c r="M155" s="69">
        <v>5741</v>
      </c>
      <c r="N155" s="69">
        <v>5393</v>
      </c>
      <c r="O155" s="69">
        <v>5200</v>
      </c>
      <c r="P155" s="203">
        <f>SUM(D155:O155)</f>
        <v>55847</v>
      </c>
    </row>
    <row r="156" spans="1:17" ht="7.75" hidden="1" customHeight="1" x14ac:dyDescent="0.25"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76"/>
    </row>
    <row r="157" spans="1:17" ht="10.25" hidden="1" customHeight="1" x14ac:dyDescent="0.25">
      <c r="B157" s="73" t="s">
        <v>118</v>
      </c>
      <c r="C157" s="74"/>
      <c r="D157" s="65">
        <f t="shared" ref="D157:P157" si="39">SUM(D158:D159)</f>
        <v>39</v>
      </c>
      <c r="E157" s="65">
        <f t="shared" si="39"/>
        <v>224</v>
      </c>
      <c r="F157" s="65">
        <f t="shared" si="39"/>
        <v>1857</v>
      </c>
      <c r="G157" s="65">
        <f t="shared" si="39"/>
        <v>1584</v>
      </c>
      <c r="H157" s="65">
        <f t="shared" si="39"/>
        <v>1590</v>
      </c>
      <c r="I157" s="65">
        <f t="shared" si="39"/>
        <v>1834</v>
      </c>
      <c r="J157" s="65">
        <f t="shared" si="39"/>
        <v>1764</v>
      </c>
      <c r="K157" s="65">
        <f t="shared" si="39"/>
        <v>1222</v>
      </c>
      <c r="L157" s="65">
        <f t="shared" si="39"/>
        <v>1172</v>
      </c>
      <c r="M157" s="65">
        <f t="shared" si="39"/>
        <v>1064</v>
      </c>
      <c r="N157" s="65">
        <f>SUM(N158:N159)</f>
        <v>1252</v>
      </c>
      <c r="O157" s="65">
        <f t="shared" si="39"/>
        <v>611</v>
      </c>
      <c r="P157" s="65">
        <f t="shared" si="39"/>
        <v>14213</v>
      </c>
    </row>
    <row r="158" spans="1:17" ht="9" hidden="1" customHeight="1" x14ac:dyDescent="0.25">
      <c r="B158" s="67"/>
      <c r="C158" s="68" t="s">
        <v>159</v>
      </c>
      <c r="D158" s="79">
        <v>34</v>
      </c>
      <c r="E158" s="79">
        <v>221</v>
      </c>
      <c r="F158" s="79">
        <v>1810</v>
      </c>
      <c r="G158" s="79">
        <v>1549</v>
      </c>
      <c r="H158" s="79">
        <v>1559</v>
      </c>
      <c r="I158" s="79">
        <v>1810</v>
      </c>
      <c r="J158" s="79">
        <v>1717</v>
      </c>
      <c r="K158" s="79">
        <v>1181</v>
      </c>
      <c r="L158" s="79">
        <v>1146</v>
      </c>
      <c r="M158" s="79">
        <v>1039</v>
      </c>
      <c r="N158" s="72">
        <v>1218</v>
      </c>
      <c r="O158" s="72">
        <v>578</v>
      </c>
      <c r="P158" s="202">
        <f>SUM(D158:O158)</f>
        <v>13862</v>
      </c>
    </row>
    <row r="159" spans="1:17" s="11" customFormat="1" ht="9" hidden="1" customHeight="1" x14ac:dyDescent="0.25">
      <c r="A159" s="15"/>
      <c r="B159" s="71"/>
      <c r="C159" s="68" t="s">
        <v>160</v>
      </c>
      <c r="D159" s="79">
        <v>5</v>
      </c>
      <c r="E159" s="79">
        <v>3</v>
      </c>
      <c r="F159" s="79">
        <v>47</v>
      </c>
      <c r="G159" s="79">
        <v>35</v>
      </c>
      <c r="H159" s="79">
        <v>31</v>
      </c>
      <c r="I159" s="79">
        <v>24</v>
      </c>
      <c r="J159" s="79">
        <v>47</v>
      </c>
      <c r="K159" s="79">
        <v>41</v>
      </c>
      <c r="L159" s="79">
        <v>26</v>
      </c>
      <c r="M159" s="79">
        <v>25</v>
      </c>
      <c r="N159" s="72">
        <v>34</v>
      </c>
      <c r="O159" s="72">
        <v>33</v>
      </c>
      <c r="P159" s="202">
        <f>SUM(D159:O159)</f>
        <v>351</v>
      </c>
      <c r="Q159" s="90"/>
    </row>
    <row r="160" spans="1:17" ht="7.25" hidden="1" customHeight="1" x14ac:dyDescent="0.25"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76"/>
    </row>
    <row r="161" spans="1:17" ht="10.25" hidden="1" customHeight="1" x14ac:dyDescent="0.25">
      <c r="B161" s="73" t="s">
        <v>67</v>
      </c>
      <c r="C161" s="74"/>
      <c r="D161" s="65">
        <f t="shared" ref="D161:P161" si="40">SUM(D162:D163)</f>
        <v>3494</v>
      </c>
      <c r="E161" s="65">
        <f t="shared" si="40"/>
        <v>3256</v>
      </c>
      <c r="F161" s="65">
        <f t="shared" si="40"/>
        <v>5298</v>
      </c>
      <c r="G161" s="65">
        <f t="shared" si="40"/>
        <v>4966</v>
      </c>
      <c r="H161" s="65">
        <f t="shared" si="40"/>
        <v>3647</v>
      </c>
      <c r="I161" s="65">
        <f t="shared" si="40"/>
        <v>3690</v>
      </c>
      <c r="J161" s="65">
        <f t="shared" si="40"/>
        <v>3143</v>
      </c>
      <c r="K161" s="65">
        <f t="shared" si="40"/>
        <v>3488</v>
      </c>
      <c r="L161" s="65">
        <f t="shared" si="40"/>
        <v>3898</v>
      </c>
      <c r="M161" s="65">
        <f t="shared" si="40"/>
        <v>3951</v>
      </c>
      <c r="N161" s="65">
        <f t="shared" si="40"/>
        <v>3487</v>
      </c>
      <c r="O161" s="65">
        <f t="shared" si="40"/>
        <v>3536</v>
      </c>
      <c r="P161" s="65">
        <f t="shared" si="40"/>
        <v>45854</v>
      </c>
    </row>
    <row r="162" spans="1:17" ht="9" hidden="1" customHeight="1" x14ac:dyDescent="0.25">
      <c r="B162" s="67"/>
      <c r="C162" s="68" t="s">
        <v>100</v>
      </c>
      <c r="D162" s="79">
        <v>3468</v>
      </c>
      <c r="E162" s="79">
        <v>3250</v>
      </c>
      <c r="F162" s="79">
        <v>5266</v>
      </c>
      <c r="G162" s="79">
        <v>4934</v>
      </c>
      <c r="H162" s="79">
        <v>3622</v>
      </c>
      <c r="I162" s="79">
        <v>3656</v>
      </c>
      <c r="J162" s="79">
        <v>3110</v>
      </c>
      <c r="K162" s="79">
        <v>3485</v>
      </c>
      <c r="L162" s="79">
        <v>3892</v>
      </c>
      <c r="M162" s="79">
        <v>3822</v>
      </c>
      <c r="N162" s="72">
        <v>3398</v>
      </c>
      <c r="O162" s="72">
        <v>3470</v>
      </c>
      <c r="P162" s="202">
        <f>SUM(D162:O162)</f>
        <v>45373</v>
      </c>
    </row>
    <row r="163" spans="1:17" s="11" customFormat="1" ht="9" hidden="1" customHeight="1" x14ac:dyDescent="0.25">
      <c r="A163" s="15"/>
      <c r="B163" s="71"/>
      <c r="C163" s="68" t="s">
        <v>141</v>
      </c>
      <c r="D163" s="79">
        <v>26</v>
      </c>
      <c r="E163" s="79">
        <v>6</v>
      </c>
      <c r="F163" s="79">
        <v>32</v>
      </c>
      <c r="G163" s="79">
        <v>32</v>
      </c>
      <c r="H163" s="79">
        <v>25</v>
      </c>
      <c r="I163" s="79">
        <v>34</v>
      </c>
      <c r="J163" s="79">
        <v>33</v>
      </c>
      <c r="K163" s="79">
        <v>3</v>
      </c>
      <c r="L163" s="79">
        <v>6</v>
      </c>
      <c r="M163" s="79">
        <v>129</v>
      </c>
      <c r="N163" s="72">
        <v>89</v>
      </c>
      <c r="O163" s="72">
        <v>66</v>
      </c>
      <c r="P163" s="202">
        <f>SUM(D163:O163)</f>
        <v>481</v>
      </c>
      <c r="Q163" s="90"/>
    </row>
    <row r="164" spans="1:17" ht="6.65" hidden="1" customHeight="1" x14ac:dyDescent="0.25">
      <c r="A164" s="142"/>
      <c r="B164" s="142"/>
      <c r="C164" s="142"/>
      <c r="D164" s="143"/>
      <c r="E164" s="143"/>
      <c r="F164" s="143"/>
      <c r="G164" s="143"/>
      <c r="H164" s="143"/>
      <c r="I164" s="143"/>
      <c r="J164" s="144"/>
      <c r="K164" s="144"/>
      <c r="L164" s="144"/>
      <c r="M164" s="144"/>
      <c r="N164" s="144"/>
      <c r="O164" s="144"/>
      <c r="P164" s="145"/>
    </row>
    <row r="165" spans="1:17" ht="10.25" hidden="1" customHeight="1" x14ac:dyDescent="0.25">
      <c r="B165" s="63" t="s">
        <v>110</v>
      </c>
      <c r="C165" s="64"/>
      <c r="D165" s="65">
        <f>SUM(D166,D167)</f>
        <v>2232</v>
      </c>
      <c r="E165" s="65">
        <f t="shared" ref="E165:O165" si="41">SUM(E166,E167)</f>
        <v>1805</v>
      </c>
      <c r="F165" s="65">
        <f t="shared" si="41"/>
        <v>1243</v>
      </c>
      <c r="G165" s="65">
        <f t="shared" si="41"/>
        <v>1666</v>
      </c>
      <c r="H165" s="65">
        <f t="shared" si="41"/>
        <v>2066</v>
      </c>
      <c r="I165" s="65">
        <f t="shared" si="41"/>
        <v>4693</v>
      </c>
      <c r="J165" s="65">
        <f t="shared" si="41"/>
        <v>3839</v>
      </c>
      <c r="K165" s="65">
        <f t="shared" si="41"/>
        <v>3879</v>
      </c>
      <c r="L165" s="65">
        <f t="shared" si="41"/>
        <v>3343</v>
      </c>
      <c r="M165" s="65">
        <f t="shared" si="41"/>
        <v>3950</v>
      </c>
      <c r="N165" s="65">
        <f t="shared" si="41"/>
        <v>3155</v>
      </c>
      <c r="O165" s="65">
        <f t="shared" si="41"/>
        <v>2598</v>
      </c>
      <c r="P165" s="65">
        <f>SUM(P166:P167)</f>
        <v>34469</v>
      </c>
    </row>
    <row r="166" spans="1:17" ht="8.4" hidden="1" customHeight="1" x14ac:dyDescent="0.25">
      <c r="B166" s="67"/>
      <c r="C166" s="68" t="s">
        <v>140</v>
      </c>
      <c r="D166" s="79">
        <v>2195</v>
      </c>
      <c r="E166" s="79">
        <v>1796</v>
      </c>
      <c r="F166" s="79">
        <v>1145</v>
      </c>
      <c r="G166" s="79">
        <v>1592</v>
      </c>
      <c r="H166" s="79">
        <v>2010</v>
      </c>
      <c r="I166" s="79">
        <v>4651</v>
      </c>
      <c r="J166" s="79">
        <v>3803</v>
      </c>
      <c r="K166" s="79">
        <v>3835</v>
      </c>
      <c r="L166" s="79">
        <v>3324</v>
      </c>
      <c r="M166" s="79">
        <v>3921</v>
      </c>
      <c r="N166" s="72">
        <v>3137</v>
      </c>
      <c r="O166" s="72">
        <v>2574</v>
      </c>
      <c r="P166" s="202">
        <f>SUM(D166:O166)</f>
        <v>33983</v>
      </c>
    </row>
    <row r="167" spans="1:17" s="11" customFormat="1" ht="9" hidden="1" customHeight="1" x14ac:dyDescent="0.25">
      <c r="A167" s="15"/>
      <c r="B167" s="71"/>
      <c r="C167" s="68" t="s">
        <v>142</v>
      </c>
      <c r="D167" s="79">
        <v>37</v>
      </c>
      <c r="E167" s="79">
        <v>9</v>
      </c>
      <c r="F167" s="79">
        <v>98</v>
      </c>
      <c r="G167" s="79">
        <v>74</v>
      </c>
      <c r="H167" s="79">
        <v>56</v>
      </c>
      <c r="I167" s="79">
        <v>42</v>
      </c>
      <c r="J167" s="79">
        <v>36</v>
      </c>
      <c r="K167" s="79">
        <v>44</v>
      </c>
      <c r="L167" s="79">
        <v>19</v>
      </c>
      <c r="M167" s="79">
        <v>29</v>
      </c>
      <c r="N167" s="72">
        <v>18</v>
      </c>
      <c r="O167" s="72">
        <v>24</v>
      </c>
      <c r="P167" s="202">
        <f>SUM(D167:O167)</f>
        <v>486</v>
      </c>
      <c r="Q167" s="90"/>
    </row>
    <row r="168" spans="1:17" ht="6.65" hidden="1" customHeight="1" x14ac:dyDescent="0.25">
      <c r="A168" s="142"/>
      <c r="B168" s="142"/>
      <c r="C168" s="142"/>
      <c r="D168" s="143"/>
      <c r="E168" s="143"/>
      <c r="F168" s="143"/>
      <c r="G168" s="143"/>
      <c r="H168" s="143"/>
      <c r="I168" s="143"/>
      <c r="J168" s="144"/>
      <c r="K168" s="144"/>
      <c r="L168" s="144"/>
      <c r="M168" s="144"/>
      <c r="N168" s="144"/>
      <c r="O168" s="144"/>
      <c r="P168" s="145"/>
    </row>
    <row r="169" spans="1:17" ht="9.65" hidden="1" customHeight="1" x14ac:dyDescent="0.25">
      <c r="B169" s="63" t="s">
        <v>9</v>
      </c>
      <c r="C169" s="64"/>
      <c r="D169" s="65">
        <f>SUM(D170:D171)</f>
        <v>4927</v>
      </c>
      <c r="E169" s="65">
        <f t="shared" ref="E169:P169" si="42">SUM(E170:E171)</f>
        <v>6355</v>
      </c>
      <c r="F169" s="65">
        <f t="shared" si="42"/>
        <v>8032</v>
      </c>
      <c r="G169" s="65">
        <f t="shared" si="42"/>
        <v>6443</v>
      </c>
      <c r="H169" s="65">
        <f t="shared" si="42"/>
        <v>6989</v>
      </c>
      <c r="I169" s="65">
        <f t="shared" si="42"/>
        <v>5815</v>
      </c>
      <c r="J169" s="65">
        <f t="shared" si="42"/>
        <v>5177</v>
      </c>
      <c r="K169" s="65">
        <f t="shared" si="42"/>
        <v>5170</v>
      </c>
      <c r="L169" s="65">
        <f t="shared" si="42"/>
        <v>4457</v>
      </c>
      <c r="M169" s="65">
        <f t="shared" si="42"/>
        <v>5782</v>
      </c>
      <c r="N169" s="65">
        <f t="shared" si="42"/>
        <v>4682</v>
      </c>
      <c r="O169" s="65">
        <f t="shared" si="42"/>
        <v>5438</v>
      </c>
      <c r="P169" s="65">
        <f t="shared" si="42"/>
        <v>69267</v>
      </c>
    </row>
    <row r="170" spans="1:17" ht="9.65" hidden="1" customHeight="1" x14ac:dyDescent="0.25">
      <c r="B170" s="67"/>
      <c r="C170" s="68" t="s">
        <v>143</v>
      </c>
      <c r="D170" s="79">
        <v>4923</v>
      </c>
      <c r="E170" s="79">
        <v>6093</v>
      </c>
      <c r="F170" s="69">
        <v>5257</v>
      </c>
      <c r="G170" s="80">
        <v>5748</v>
      </c>
      <c r="H170" s="69">
        <v>6193</v>
      </c>
      <c r="I170" s="77">
        <v>4867</v>
      </c>
      <c r="J170" s="77">
        <v>4145</v>
      </c>
      <c r="K170" s="69">
        <v>3962</v>
      </c>
      <c r="L170" s="69">
        <v>3471</v>
      </c>
      <c r="M170" s="69">
        <v>4871</v>
      </c>
      <c r="N170" s="69">
        <v>3414</v>
      </c>
      <c r="O170" s="69">
        <v>5111</v>
      </c>
      <c r="P170" s="203">
        <f>SUM(D170:O170)</f>
        <v>58055</v>
      </c>
      <c r="Q170"/>
    </row>
    <row r="171" spans="1:17" ht="8.4" hidden="1" customHeight="1" x14ac:dyDescent="0.25">
      <c r="B171" s="71"/>
      <c r="C171" s="68" t="s">
        <v>144</v>
      </c>
      <c r="D171" s="79">
        <v>4</v>
      </c>
      <c r="E171" s="79">
        <v>262</v>
      </c>
      <c r="F171" s="79">
        <v>2775</v>
      </c>
      <c r="G171" s="79">
        <v>695</v>
      </c>
      <c r="H171" s="79">
        <v>796</v>
      </c>
      <c r="I171" s="79">
        <v>948</v>
      </c>
      <c r="J171" s="79">
        <v>1032</v>
      </c>
      <c r="K171" s="79">
        <v>1208</v>
      </c>
      <c r="L171" s="79">
        <v>986</v>
      </c>
      <c r="M171" s="79">
        <v>911</v>
      </c>
      <c r="N171" s="72">
        <v>1268</v>
      </c>
      <c r="O171" s="72">
        <v>327</v>
      </c>
      <c r="P171" s="203">
        <f>SUM(D171:O171)</f>
        <v>11212</v>
      </c>
      <c r="Q171"/>
    </row>
    <row r="172" spans="1:17" s="11" customFormat="1" ht="7.75" hidden="1" customHeight="1" x14ac:dyDescent="0.25"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Q172" s="90"/>
    </row>
    <row r="173" spans="1:17" ht="9.65" hidden="1" customHeight="1" x14ac:dyDescent="0.25">
      <c r="B173" s="63" t="s">
        <v>119</v>
      </c>
      <c r="C173" s="64"/>
      <c r="D173" s="65">
        <v>2996</v>
      </c>
      <c r="E173" s="65">
        <f t="shared" ref="E173:O173" si="43">SUM(E174:E175)</f>
        <v>2878</v>
      </c>
      <c r="F173" s="65">
        <f t="shared" si="43"/>
        <v>3123</v>
      </c>
      <c r="G173" s="65">
        <f t="shared" si="43"/>
        <v>4844</v>
      </c>
      <c r="H173" s="65">
        <f t="shared" si="43"/>
        <v>2744</v>
      </c>
      <c r="I173" s="65">
        <f t="shared" si="43"/>
        <v>3623</v>
      </c>
      <c r="J173" s="65">
        <f t="shared" si="43"/>
        <v>3575</v>
      </c>
      <c r="K173" s="65">
        <f t="shared" si="43"/>
        <v>2951</v>
      </c>
      <c r="L173" s="65">
        <f t="shared" si="43"/>
        <v>3194</v>
      </c>
      <c r="M173" s="65">
        <f t="shared" si="43"/>
        <v>3747</v>
      </c>
      <c r="N173" s="65">
        <f t="shared" si="43"/>
        <v>4094</v>
      </c>
      <c r="O173" s="65">
        <f t="shared" si="43"/>
        <v>3349</v>
      </c>
      <c r="P173" s="65">
        <f>SUM(P174:P175)</f>
        <v>41118</v>
      </c>
    </row>
    <row r="174" spans="1:17" ht="9.65" hidden="1" customHeight="1" x14ac:dyDescent="0.25">
      <c r="B174" s="67"/>
      <c r="C174" s="68" t="s">
        <v>167</v>
      </c>
      <c r="D174" s="79">
        <v>2996</v>
      </c>
      <c r="E174" s="79">
        <v>2878</v>
      </c>
      <c r="F174" s="69">
        <f>3123-535</f>
        <v>2588</v>
      </c>
      <c r="G174" s="80">
        <v>3647</v>
      </c>
      <c r="H174" s="69">
        <v>1979</v>
      </c>
      <c r="I174" s="77">
        <v>2686</v>
      </c>
      <c r="J174" s="77">
        <v>2650</v>
      </c>
      <c r="K174" s="69">
        <v>2295</v>
      </c>
      <c r="L174" s="69">
        <v>2292</v>
      </c>
      <c r="M174" s="69">
        <v>2874</v>
      </c>
      <c r="N174" s="69">
        <v>3223</v>
      </c>
      <c r="O174" s="69">
        <v>2656</v>
      </c>
      <c r="P174" s="203">
        <f>SUM(D174:O174)</f>
        <v>32764</v>
      </c>
      <c r="Q174"/>
    </row>
    <row r="175" spans="1:17" ht="8.4" hidden="1" customHeight="1" x14ac:dyDescent="0.25">
      <c r="B175" s="71"/>
      <c r="C175" s="68" t="s">
        <v>168</v>
      </c>
      <c r="D175" s="79">
        <v>0</v>
      </c>
      <c r="E175" s="79">
        <v>0</v>
      </c>
      <c r="F175" s="79">
        <v>535</v>
      </c>
      <c r="G175" s="79">
        <v>1197</v>
      </c>
      <c r="H175" s="79">
        <v>765</v>
      </c>
      <c r="I175" s="79">
        <v>937</v>
      </c>
      <c r="J175" s="79">
        <v>925</v>
      </c>
      <c r="K175" s="79">
        <v>656</v>
      </c>
      <c r="L175" s="79">
        <v>902</v>
      </c>
      <c r="M175" s="79">
        <v>873</v>
      </c>
      <c r="N175" s="72">
        <v>871</v>
      </c>
      <c r="O175" s="72">
        <v>693</v>
      </c>
      <c r="P175" s="203">
        <f>SUM(D175:O175)</f>
        <v>8354</v>
      </c>
      <c r="Q175"/>
    </row>
    <row r="176" spans="1:17" s="11" customFormat="1" ht="13" hidden="1" x14ac:dyDescent="0.25"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Q176" s="90"/>
    </row>
    <row r="177" spans="1:17" ht="14.5" hidden="1" thickBot="1" x14ac:dyDescent="0.3">
      <c r="B177" s="13" t="s">
        <v>149</v>
      </c>
      <c r="C177" s="13"/>
    </row>
    <row r="178" spans="1:17" ht="12.75" hidden="1" customHeight="1" thickBot="1" x14ac:dyDescent="0.3">
      <c r="B178" s="421" t="s">
        <v>1</v>
      </c>
      <c r="C178" s="422"/>
      <c r="D178" s="16">
        <v>1</v>
      </c>
      <c r="E178" s="17">
        <v>2</v>
      </c>
      <c r="F178" s="17">
        <v>3</v>
      </c>
      <c r="G178" s="17">
        <v>4</v>
      </c>
      <c r="H178" s="17">
        <v>5</v>
      </c>
      <c r="I178" s="17">
        <v>6</v>
      </c>
      <c r="J178" s="17">
        <v>7</v>
      </c>
      <c r="K178" s="17">
        <v>8</v>
      </c>
      <c r="L178" s="17" t="s">
        <v>54</v>
      </c>
      <c r="M178" s="17">
        <v>10</v>
      </c>
      <c r="N178" s="17">
        <v>11</v>
      </c>
      <c r="O178" s="17">
        <v>12</v>
      </c>
      <c r="P178" s="18" t="s">
        <v>0</v>
      </c>
    </row>
    <row r="179" spans="1:17" ht="12.75" hidden="1" customHeight="1" x14ac:dyDescent="0.25">
      <c r="B179" s="416" t="s">
        <v>37</v>
      </c>
      <c r="C179" s="130" t="s">
        <v>18</v>
      </c>
      <c r="D179" s="57">
        <v>0</v>
      </c>
      <c r="E179" s="58">
        <v>0</v>
      </c>
      <c r="F179" s="57">
        <v>0</v>
      </c>
      <c r="G179" s="58">
        <v>0</v>
      </c>
      <c r="H179" s="58">
        <v>0</v>
      </c>
      <c r="I179" s="58">
        <v>0</v>
      </c>
      <c r="J179" s="58">
        <v>0</v>
      </c>
      <c r="K179" s="58">
        <v>0</v>
      </c>
      <c r="L179" s="60">
        <v>0</v>
      </c>
      <c r="M179" s="58">
        <v>0</v>
      </c>
      <c r="N179" s="58">
        <v>0</v>
      </c>
      <c r="O179" s="58">
        <v>0</v>
      </c>
      <c r="P179" s="59">
        <f t="shared" ref="P179:P206" si="44">SUM(D179:O179)</f>
        <v>0</v>
      </c>
      <c r="Q179"/>
    </row>
    <row r="180" spans="1:17" ht="12.75" hidden="1" customHeight="1" x14ac:dyDescent="0.25">
      <c r="B180" s="417"/>
      <c r="C180" s="130" t="s">
        <v>20</v>
      </c>
      <c r="D180" s="57">
        <v>6100</v>
      </c>
      <c r="E180" s="57">
        <v>6336</v>
      </c>
      <c r="F180" s="57">
        <v>6619</v>
      </c>
      <c r="G180" s="57">
        <v>5278</v>
      </c>
      <c r="H180" s="57">
        <v>6599</v>
      </c>
      <c r="I180" s="57">
        <f>4556+742+20</f>
        <v>5318</v>
      </c>
      <c r="J180" s="57">
        <v>4002</v>
      </c>
      <c r="K180" s="57">
        <v>4758</v>
      </c>
      <c r="L180" s="57">
        <v>4367</v>
      </c>
      <c r="M180" s="57">
        <v>5017</v>
      </c>
      <c r="N180" s="57">
        <v>5828</v>
      </c>
      <c r="O180" s="57">
        <v>5142</v>
      </c>
      <c r="P180" s="59">
        <f t="shared" si="44"/>
        <v>65364</v>
      </c>
      <c r="Q180"/>
    </row>
    <row r="181" spans="1:17" ht="12.75" hidden="1" customHeight="1" x14ac:dyDescent="0.25">
      <c r="B181" s="417"/>
      <c r="C181" s="132" t="s">
        <v>21</v>
      </c>
      <c r="D181" s="56">
        <v>2539</v>
      </c>
      <c r="E181" s="56">
        <v>2240</v>
      </c>
      <c r="F181" s="56">
        <v>2215</v>
      </c>
      <c r="G181" s="56">
        <v>2232</v>
      </c>
      <c r="H181" s="56">
        <v>2630</v>
      </c>
      <c r="I181" s="56">
        <f>1162+2258+693</f>
        <v>4113</v>
      </c>
      <c r="J181" s="56">
        <v>2815</v>
      </c>
      <c r="K181" s="56">
        <v>3001</v>
      </c>
      <c r="L181" s="56">
        <v>2947</v>
      </c>
      <c r="M181" s="56">
        <v>4849</v>
      </c>
      <c r="N181" s="56">
        <v>4895</v>
      </c>
      <c r="O181" s="56">
        <v>5165</v>
      </c>
      <c r="P181" s="59">
        <f t="shared" si="44"/>
        <v>39641</v>
      </c>
      <c r="Q181"/>
    </row>
    <row r="182" spans="1:17" ht="12.75" hidden="1" customHeight="1" x14ac:dyDescent="0.25">
      <c r="B182" s="417"/>
      <c r="C182" s="130" t="s">
        <v>145</v>
      </c>
      <c r="D182" s="57">
        <v>23</v>
      </c>
      <c r="E182" s="57">
        <v>1632</v>
      </c>
      <c r="F182" s="57">
        <v>2200</v>
      </c>
      <c r="G182" s="57">
        <v>1316</v>
      </c>
      <c r="H182" s="57">
        <v>1117</v>
      </c>
      <c r="I182" s="57">
        <v>491</v>
      </c>
      <c r="J182" s="57">
        <v>488</v>
      </c>
      <c r="K182" s="57">
        <v>400</v>
      </c>
      <c r="L182" s="57">
        <v>344</v>
      </c>
      <c r="M182" s="57">
        <v>472</v>
      </c>
      <c r="N182" s="57">
        <v>618</v>
      </c>
      <c r="O182" s="57">
        <v>183</v>
      </c>
      <c r="P182" s="59">
        <f t="shared" si="44"/>
        <v>9284</v>
      </c>
      <c r="Q182"/>
    </row>
    <row r="183" spans="1:17" ht="12.75" hidden="1" customHeight="1" x14ac:dyDescent="0.25">
      <c r="B183" s="417"/>
      <c r="C183" s="132" t="s">
        <v>23</v>
      </c>
      <c r="D183" s="55">
        <v>9131</v>
      </c>
      <c r="E183" s="55">
        <v>9817</v>
      </c>
      <c r="F183" s="55">
        <v>10916</v>
      </c>
      <c r="G183" s="55">
        <v>9997</v>
      </c>
      <c r="H183" s="55">
        <v>11581</v>
      </c>
      <c r="I183" s="55">
        <f>7516+4012</f>
        <v>11528</v>
      </c>
      <c r="J183" s="55">
        <v>8531</v>
      </c>
      <c r="K183" s="55">
        <v>8820</v>
      </c>
      <c r="L183" s="55">
        <v>8159</v>
      </c>
      <c r="M183" s="55">
        <v>8192</v>
      </c>
      <c r="N183" s="55">
        <v>7980</v>
      </c>
      <c r="O183" s="55">
        <v>8410</v>
      </c>
      <c r="P183" s="59">
        <f t="shared" si="44"/>
        <v>113062</v>
      </c>
      <c r="Q183"/>
    </row>
    <row r="184" spans="1:17" ht="12.75" hidden="1" customHeight="1" thickBot="1" x14ac:dyDescent="0.3">
      <c r="B184" s="418"/>
      <c r="C184" s="133" t="s">
        <v>0</v>
      </c>
      <c r="D184" s="32">
        <f t="shared" ref="D184:O184" si="45">SUM(D179:D183)</f>
        <v>17793</v>
      </c>
      <c r="E184" s="32">
        <f t="shared" si="45"/>
        <v>20025</v>
      </c>
      <c r="F184" s="32">
        <f t="shared" si="45"/>
        <v>21950</v>
      </c>
      <c r="G184" s="32">
        <f t="shared" si="45"/>
        <v>18823</v>
      </c>
      <c r="H184" s="32">
        <f t="shared" si="45"/>
        <v>21927</v>
      </c>
      <c r="I184" s="32">
        <f t="shared" si="45"/>
        <v>21450</v>
      </c>
      <c r="J184" s="32">
        <f t="shared" si="45"/>
        <v>15836</v>
      </c>
      <c r="K184" s="32">
        <f t="shared" si="45"/>
        <v>16979</v>
      </c>
      <c r="L184" s="32">
        <f t="shared" si="45"/>
        <v>15817</v>
      </c>
      <c r="M184" s="32">
        <f t="shared" si="45"/>
        <v>18530</v>
      </c>
      <c r="N184" s="32">
        <f t="shared" si="45"/>
        <v>19321</v>
      </c>
      <c r="O184" s="32">
        <f t="shared" si="45"/>
        <v>18900</v>
      </c>
      <c r="P184" s="33">
        <f t="shared" si="44"/>
        <v>227351</v>
      </c>
      <c r="Q184"/>
    </row>
    <row r="185" spans="1:17" ht="12.75" hidden="1" customHeight="1" x14ac:dyDescent="0.25">
      <c r="B185" s="426" t="s">
        <v>36</v>
      </c>
      <c r="C185" s="129" t="s">
        <v>131</v>
      </c>
      <c r="D185" s="28">
        <v>3070</v>
      </c>
      <c r="E185" s="29">
        <v>3164</v>
      </c>
      <c r="F185" s="29">
        <v>3248</v>
      </c>
      <c r="G185" s="29">
        <v>3420</v>
      </c>
      <c r="H185" s="29">
        <v>4064</v>
      </c>
      <c r="I185" s="29">
        <v>3900</v>
      </c>
      <c r="J185" s="29">
        <v>3706</v>
      </c>
      <c r="K185" s="29">
        <v>3804</v>
      </c>
      <c r="L185" s="29">
        <v>3705</v>
      </c>
      <c r="M185" s="29">
        <v>3648</v>
      </c>
      <c r="N185" s="29">
        <v>5701</v>
      </c>
      <c r="O185" s="29">
        <v>4021</v>
      </c>
      <c r="P185" s="24">
        <f t="shared" si="44"/>
        <v>45451</v>
      </c>
      <c r="Q185"/>
    </row>
    <row r="186" spans="1:17" ht="12.75" hidden="1" customHeight="1" x14ac:dyDescent="0.25">
      <c r="B186" s="427"/>
      <c r="C186" s="131" t="s">
        <v>86</v>
      </c>
      <c r="D186" s="22">
        <v>646</v>
      </c>
      <c r="E186" s="23">
        <v>492</v>
      </c>
      <c r="F186" s="23">
        <v>526</v>
      </c>
      <c r="G186" s="23">
        <v>449</v>
      </c>
      <c r="H186" s="23">
        <v>511</v>
      </c>
      <c r="I186" s="23">
        <v>952</v>
      </c>
      <c r="J186" s="23">
        <v>546</v>
      </c>
      <c r="K186" s="23">
        <v>904</v>
      </c>
      <c r="L186" s="23">
        <v>771</v>
      </c>
      <c r="M186" s="23">
        <v>1182</v>
      </c>
      <c r="N186" s="23">
        <v>776</v>
      </c>
      <c r="O186" s="23">
        <v>526</v>
      </c>
      <c r="P186" s="24">
        <f t="shared" si="44"/>
        <v>8281</v>
      </c>
      <c r="Q186"/>
    </row>
    <row r="187" spans="1:17" ht="12.75" hidden="1" customHeight="1" x14ac:dyDescent="0.25">
      <c r="B187" s="427"/>
      <c r="C187" s="134" t="s">
        <v>63</v>
      </c>
      <c r="D187" s="19">
        <v>854</v>
      </c>
      <c r="E187" s="20">
        <v>3225</v>
      </c>
      <c r="F187" s="20">
        <v>4801</v>
      </c>
      <c r="G187" s="20">
        <v>4048</v>
      </c>
      <c r="H187" s="20">
        <v>2522</v>
      </c>
      <c r="I187" s="20">
        <f>28+1529+941+664</f>
        <v>3162</v>
      </c>
      <c r="J187" s="20">
        <v>2644</v>
      </c>
      <c r="K187" s="20">
        <v>2695</v>
      </c>
      <c r="L187" s="20">
        <v>2501</v>
      </c>
      <c r="M187" s="20">
        <v>2934</v>
      </c>
      <c r="N187" s="20">
        <v>3209</v>
      </c>
      <c r="O187" s="20">
        <v>2112</v>
      </c>
      <c r="P187" s="24">
        <f t="shared" si="44"/>
        <v>34707</v>
      </c>
      <c r="Q187"/>
    </row>
    <row r="188" spans="1:17" ht="12.75" hidden="1" customHeight="1" x14ac:dyDescent="0.25">
      <c r="A188"/>
      <c r="B188" s="427"/>
      <c r="C188" s="134" t="s">
        <v>43</v>
      </c>
      <c r="D188" s="19">
        <v>3636</v>
      </c>
      <c r="E188" s="20">
        <v>3561</v>
      </c>
      <c r="F188" s="20">
        <v>4236</v>
      </c>
      <c r="G188" s="20">
        <v>4112</v>
      </c>
      <c r="H188" s="20">
        <v>4241</v>
      </c>
      <c r="I188" s="20">
        <f>2755+1686</f>
        <v>4441</v>
      </c>
      <c r="J188" s="20">
        <v>3190</v>
      </c>
      <c r="K188" s="20">
        <v>2976</v>
      </c>
      <c r="L188" s="20">
        <v>3126</v>
      </c>
      <c r="M188" s="20">
        <v>3432</v>
      </c>
      <c r="N188" s="20">
        <v>3205</v>
      </c>
      <c r="O188" s="20">
        <v>3588</v>
      </c>
      <c r="P188" s="24">
        <f t="shared" si="44"/>
        <v>43744</v>
      </c>
      <c r="Q188"/>
    </row>
    <row r="189" spans="1:17" ht="12.75" hidden="1" customHeight="1" x14ac:dyDescent="0.25">
      <c r="A189"/>
      <c r="B189" s="427"/>
      <c r="C189" s="134" t="s">
        <v>118</v>
      </c>
      <c r="D189" s="19">
        <v>76</v>
      </c>
      <c r="E189" s="20">
        <v>1911</v>
      </c>
      <c r="F189" s="20">
        <v>1701</v>
      </c>
      <c r="G189" s="20">
        <v>2123</v>
      </c>
      <c r="H189" s="20">
        <v>2396</v>
      </c>
      <c r="I189" s="20">
        <v>1297</v>
      </c>
      <c r="J189" s="20">
        <v>1350</v>
      </c>
      <c r="K189" s="20">
        <v>1061</v>
      </c>
      <c r="L189" s="20">
        <v>705</v>
      </c>
      <c r="M189" s="20">
        <v>1471</v>
      </c>
      <c r="N189" s="20">
        <v>1723</v>
      </c>
      <c r="O189" s="20">
        <v>791</v>
      </c>
      <c r="P189" s="24">
        <f t="shared" si="44"/>
        <v>16605</v>
      </c>
      <c r="Q189"/>
    </row>
    <row r="190" spans="1:17" ht="12.75" hidden="1" customHeight="1" x14ac:dyDescent="0.25">
      <c r="A190"/>
      <c r="B190" s="427"/>
      <c r="C190" s="134" t="s">
        <v>73</v>
      </c>
      <c r="D190" s="19">
        <v>307</v>
      </c>
      <c r="E190" s="20">
        <v>884</v>
      </c>
      <c r="F190" s="20">
        <v>694</v>
      </c>
      <c r="G190" s="20">
        <v>327</v>
      </c>
      <c r="H190" s="20">
        <v>410</v>
      </c>
      <c r="I190" s="20">
        <v>305</v>
      </c>
      <c r="J190" s="20">
        <v>371</v>
      </c>
      <c r="K190" s="20">
        <v>293</v>
      </c>
      <c r="L190" s="20">
        <v>237</v>
      </c>
      <c r="M190" s="20">
        <v>189</v>
      </c>
      <c r="N190" s="20">
        <v>232</v>
      </c>
      <c r="O190" s="20">
        <v>79</v>
      </c>
      <c r="P190" s="24">
        <f t="shared" si="44"/>
        <v>4328</v>
      </c>
      <c r="Q190"/>
    </row>
    <row r="191" spans="1:17" ht="12.75" hidden="1" customHeight="1" x14ac:dyDescent="0.25">
      <c r="A191"/>
      <c r="B191" s="427"/>
      <c r="C191" s="131" t="s">
        <v>5</v>
      </c>
      <c r="D191" s="22">
        <v>2124</v>
      </c>
      <c r="E191" s="23">
        <v>2776</v>
      </c>
      <c r="F191" s="23">
        <v>2977</v>
      </c>
      <c r="G191" s="23">
        <v>2774</v>
      </c>
      <c r="H191" s="23">
        <v>2557</v>
      </c>
      <c r="I191" s="23">
        <f>1323+2030</f>
        <v>3353</v>
      </c>
      <c r="J191" s="23">
        <v>2075</v>
      </c>
      <c r="K191" s="23">
        <v>2775</v>
      </c>
      <c r="L191" s="23">
        <v>5139</v>
      </c>
      <c r="M191" s="23">
        <v>8331</v>
      </c>
      <c r="N191" s="23">
        <v>8780</v>
      </c>
      <c r="O191" s="23">
        <v>7682</v>
      </c>
      <c r="P191" s="24">
        <f t="shared" si="44"/>
        <v>51343</v>
      </c>
      <c r="Q191"/>
    </row>
    <row r="192" spans="1:17" ht="12.75" hidden="1" customHeight="1" x14ac:dyDescent="0.25">
      <c r="A192"/>
      <c r="B192" s="427"/>
      <c r="C192" s="131" t="s">
        <v>82</v>
      </c>
      <c r="D192" s="22">
        <v>3922</v>
      </c>
      <c r="E192" s="23">
        <v>3539</v>
      </c>
      <c r="F192" s="23">
        <v>4820</v>
      </c>
      <c r="G192" s="23">
        <v>4096</v>
      </c>
      <c r="H192" s="23">
        <v>3553</v>
      </c>
      <c r="I192" s="23">
        <v>3164</v>
      </c>
      <c r="J192" s="23">
        <v>3264</v>
      </c>
      <c r="K192" s="23">
        <v>3752</v>
      </c>
      <c r="L192" s="23">
        <v>2935</v>
      </c>
      <c r="M192" s="23">
        <v>2825</v>
      </c>
      <c r="N192" s="23">
        <v>3157</v>
      </c>
      <c r="O192" s="23">
        <v>2066</v>
      </c>
      <c r="P192" s="24">
        <f t="shared" si="44"/>
        <v>41093</v>
      </c>
      <c r="Q192"/>
    </row>
    <row r="193" spans="1:17" ht="12.75" hidden="1" customHeight="1" thickBot="1" x14ac:dyDescent="0.3">
      <c r="A193"/>
      <c r="B193" s="428"/>
      <c r="C193" s="135" t="s">
        <v>0</v>
      </c>
      <c r="D193" s="26">
        <f>SUM(D185:D192)</f>
        <v>14635</v>
      </c>
      <c r="E193" s="26">
        <f t="shared" ref="E193:J193" si="46">SUM(E185:E192)</f>
        <v>19552</v>
      </c>
      <c r="F193" s="26">
        <f t="shared" si="46"/>
        <v>23003</v>
      </c>
      <c r="G193" s="26">
        <f t="shared" si="46"/>
        <v>21349</v>
      </c>
      <c r="H193" s="26">
        <f t="shared" si="46"/>
        <v>20254</v>
      </c>
      <c r="I193" s="26">
        <f t="shared" si="46"/>
        <v>20574</v>
      </c>
      <c r="J193" s="26">
        <f t="shared" si="46"/>
        <v>17146</v>
      </c>
      <c r="K193" s="26">
        <f>SUM(K185:K192)</f>
        <v>18260</v>
      </c>
      <c r="L193" s="26">
        <f>SUM(L185:L192)</f>
        <v>19119</v>
      </c>
      <c r="M193" s="26">
        <f>SUM(M185:M192)</f>
        <v>24012</v>
      </c>
      <c r="N193" s="26">
        <f>SUM(N185:N192)</f>
        <v>26783</v>
      </c>
      <c r="O193" s="26">
        <f>SUM(O185:O192)</f>
        <v>20865</v>
      </c>
      <c r="P193" s="27">
        <f t="shared" si="44"/>
        <v>245552</v>
      </c>
      <c r="Q193"/>
    </row>
    <row r="194" spans="1:17" ht="12.65" hidden="1" customHeight="1" x14ac:dyDescent="0.25">
      <c r="A194"/>
      <c r="B194" s="416" t="s">
        <v>6</v>
      </c>
      <c r="C194" s="129" t="s">
        <v>119</v>
      </c>
      <c r="D194" s="28">
        <v>2951</v>
      </c>
      <c r="E194" s="29">
        <v>3416</v>
      </c>
      <c r="F194" s="29">
        <v>3980</v>
      </c>
      <c r="G194" s="29">
        <v>3407</v>
      </c>
      <c r="H194" s="29">
        <v>3567</v>
      </c>
      <c r="I194" s="29">
        <v>3501</v>
      </c>
      <c r="J194" s="29">
        <v>3242</v>
      </c>
      <c r="K194" s="29">
        <v>2940</v>
      </c>
      <c r="L194" s="29">
        <v>2633</v>
      </c>
      <c r="M194" s="29">
        <v>3265</v>
      </c>
      <c r="N194" s="29">
        <v>3342</v>
      </c>
      <c r="O194" s="29">
        <v>3536</v>
      </c>
      <c r="P194" s="30">
        <f t="shared" si="44"/>
        <v>39780</v>
      </c>
      <c r="Q194"/>
    </row>
    <row r="195" spans="1:17" ht="12.75" hidden="1" customHeight="1" x14ac:dyDescent="0.25">
      <c r="A195"/>
      <c r="B195" s="417"/>
      <c r="C195" s="134" t="s">
        <v>9</v>
      </c>
      <c r="D195" s="19">
        <v>6591</v>
      </c>
      <c r="E195" s="20">
        <v>11099</v>
      </c>
      <c r="F195" s="20">
        <v>10282</v>
      </c>
      <c r="G195" s="20">
        <v>9068</v>
      </c>
      <c r="H195" s="20">
        <v>8061</v>
      </c>
      <c r="I195" s="20">
        <f>5745+2505</f>
        <v>8250</v>
      </c>
      <c r="J195" s="20">
        <v>8670</v>
      </c>
      <c r="K195" s="20">
        <v>5987</v>
      </c>
      <c r="L195" s="20">
        <v>5781</v>
      </c>
      <c r="M195" s="20">
        <v>8578</v>
      </c>
      <c r="N195" s="20">
        <v>9255</v>
      </c>
      <c r="O195" s="20">
        <v>6053</v>
      </c>
      <c r="P195" s="21">
        <f>SUM(D195:O195)</f>
        <v>97675</v>
      </c>
      <c r="Q195"/>
    </row>
    <row r="196" spans="1:17" ht="12.75" hidden="1" customHeight="1" thickBot="1" x14ac:dyDescent="0.3">
      <c r="A196"/>
      <c r="B196" s="418"/>
      <c r="C196" s="133" t="s">
        <v>0</v>
      </c>
      <c r="D196" s="32">
        <f t="shared" ref="D196:O196" si="47">SUM(D194:D195)</f>
        <v>9542</v>
      </c>
      <c r="E196" s="32">
        <f t="shared" si="47"/>
        <v>14515</v>
      </c>
      <c r="F196" s="32">
        <f t="shared" si="47"/>
        <v>14262</v>
      </c>
      <c r="G196" s="32">
        <f t="shared" si="47"/>
        <v>12475</v>
      </c>
      <c r="H196" s="32">
        <f t="shared" si="47"/>
        <v>11628</v>
      </c>
      <c r="I196" s="32">
        <f t="shared" si="47"/>
        <v>11751</v>
      </c>
      <c r="J196" s="32">
        <f t="shared" si="47"/>
        <v>11912</v>
      </c>
      <c r="K196" s="32">
        <f t="shared" si="47"/>
        <v>8927</v>
      </c>
      <c r="L196" s="32">
        <f t="shared" si="47"/>
        <v>8414</v>
      </c>
      <c r="M196" s="32">
        <f t="shared" si="47"/>
        <v>11843</v>
      </c>
      <c r="N196" s="32">
        <f t="shared" si="47"/>
        <v>12597</v>
      </c>
      <c r="O196" s="32">
        <f t="shared" si="47"/>
        <v>9589</v>
      </c>
      <c r="P196" s="33">
        <f t="shared" si="44"/>
        <v>137455</v>
      </c>
      <c r="Q196"/>
    </row>
    <row r="197" spans="1:17" ht="12.75" hidden="1" customHeight="1" x14ac:dyDescent="0.25">
      <c r="A197"/>
      <c r="B197" s="416" t="s">
        <v>7</v>
      </c>
      <c r="C197" s="129" t="s">
        <v>10</v>
      </c>
      <c r="D197" s="28">
        <v>454</v>
      </c>
      <c r="E197" s="29">
        <v>548</v>
      </c>
      <c r="F197" s="29">
        <v>643</v>
      </c>
      <c r="G197" s="29">
        <v>546</v>
      </c>
      <c r="H197" s="29">
        <v>596</v>
      </c>
      <c r="I197" s="29">
        <f>197+98+242+162</f>
        <v>699</v>
      </c>
      <c r="J197" s="29">
        <v>626</v>
      </c>
      <c r="K197" s="29">
        <v>584</v>
      </c>
      <c r="L197" s="29">
        <v>610</v>
      </c>
      <c r="M197" s="29">
        <v>673</v>
      </c>
      <c r="N197" s="29">
        <v>752</v>
      </c>
      <c r="O197" s="29">
        <v>787</v>
      </c>
      <c r="P197" s="30">
        <f t="shared" si="44"/>
        <v>7518</v>
      </c>
      <c r="Q197"/>
    </row>
    <row r="198" spans="1:17" ht="12.75" hidden="1" customHeight="1" x14ac:dyDescent="0.25">
      <c r="A198"/>
      <c r="B198" s="417"/>
      <c r="C198" s="134" t="s">
        <v>11</v>
      </c>
      <c r="D198" s="19">
        <v>724</v>
      </c>
      <c r="E198" s="20">
        <v>679</v>
      </c>
      <c r="F198" s="20">
        <v>1936</v>
      </c>
      <c r="G198" s="20">
        <v>1280</v>
      </c>
      <c r="H198" s="20">
        <v>1847</v>
      </c>
      <c r="I198" s="20">
        <f>681+668+502</f>
        <v>1851</v>
      </c>
      <c r="J198" s="20">
        <v>1528</v>
      </c>
      <c r="K198" s="20">
        <v>1625</v>
      </c>
      <c r="L198" s="20">
        <v>1437</v>
      </c>
      <c r="M198" s="20">
        <v>1674</v>
      </c>
      <c r="N198" s="20">
        <v>1716</v>
      </c>
      <c r="O198" s="20">
        <v>1337</v>
      </c>
      <c r="P198" s="21">
        <f t="shared" si="44"/>
        <v>17634</v>
      </c>
      <c r="Q198"/>
    </row>
    <row r="199" spans="1:17" ht="12.75" hidden="1" customHeight="1" thickBot="1" x14ac:dyDescent="0.3">
      <c r="A199"/>
      <c r="B199" s="418"/>
      <c r="C199" s="133" t="s">
        <v>0</v>
      </c>
      <c r="D199" s="32">
        <f>SUM(D197:D198)</f>
        <v>1178</v>
      </c>
      <c r="E199" s="32">
        <f t="shared" ref="E199:M199" si="48">SUM(E197:E198)</f>
        <v>1227</v>
      </c>
      <c r="F199" s="32">
        <f t="shared" si="48"/>
        <v>2579</v>
      </c>
      <c r="G199" s="32">
        <f t="shared" si="48"/>
        <v>1826</v>
      </c>
      <c r="H199" s="32">
        <f t="shared" si="48"/>
        <v>2443</v>
      </c>
      <c r="I199" s="32">
        <f t="shared" si="48"/>
        <v>2550</v>
      </c>
      <c r="J199" s="32">
        <f t="shared" si="48"/>
        <v>2154</v>
      </c>
      <c r="K199" s="32">
        <f t="shared" si="48"/>
        <v>2209</v>
      </c>
      <c r="L199" s="32">
        <f t="shared" si="48"/>
        <v>2047</v>
      </c>
      <c r="M199" s="32">
        <f t="shared" si="48"/>
        <v>2347</v>
      </c>
      <c r="N199" s="32">
        <f>SUM(N197:N198)</f>
        <v>2468</v>
      </c>
      <c r="O199" s="32">
        <f>SUM(O197:O198)</f>
        <v>2124</v>
      </c>
      <c r="P199" s="33">
        <f t="shared" si="44"/>
        <v>25152</v>
      </c>
      <c r="Q199"/>
    </row>
    <row r="200" spans="1:17" ht="12.75" hidden="1" customHeight="1" x14ac:dyDescent="0.25">
      <c r="A200"/>
      <c r="B200" s="429" t="s">
        <v>4</v>
      </c>
      <c r="C200" s="129" t="s">
        <v>65</v>
      </c>
      <c r="D200" s="110">
        <v>317</v>
      </c>
      <c r="E200" s="110">
        <v>220</v>
      </c>
      <c r="F200" s="110">
        <v>466</v>
      </c>
      <c r="G200" s="110">
        <v>379</v>
      </c>
      <c r="H200" s="110">
        <v>248</v>
      </c>
      <c r="I200" s="110">
        <v>469</v>
      </c>
      <c r="J200" s="110">
        <v>559</v>
      </c>
      <c r="K200" s="110">
        <v>457</v>
      </c>
      <c r="L200" s="110">
        <v>384</v>
      </c>
      <c r="M200" s="110">
        <v>278</v>
      </c>
      <c r="N200" s="110">
        <v>267</v>
      </c>
      <c r="O200" s="110">
        <v>276</v>
      </c>
      <c r="P200" s="111">
        <f t="shared" si="44"/>
        <v>4320</v>
      </c>
      <c r="Q200"/>
    </row>
    <row r="201" spans="1:17" ht="12.75" hidden="1" customHeight="1" x14ac:dyDescent="0.25">
      <c r="A201"/>
      <c r="B201" s="430"/>
      <c r="C201" s="136" t="s">
        <v>67</v>
      </c>
      <c r="D201" s="99">
        <v>4057</v>
      </c>
      <c r="E201" s="99">
        <v>4290</v>
      </c>
      <c r="F201" s="99">
        <v>4670</v>
      </c>
      <c r="G201" s="99">
        <v>4573</v>
      </c>
      <c r="H201" s="99">
        <v>4813</v>
      </c>
      <c r="I201" s="99">
        <f>4647+71</f>
        <v>4718</v>
      </c>
      <c r="J201" s="99">
        <v>3252</v>
      </c>
      <c r="K201" s="99">
        <v>2923</v>
      </c>
      <c r="L201" s="99">
        <v>2819</v>
      </c>
      <c r="M201" s="99">
        <v>1969</v>
      </c>
      <c r="N201" s="99">
        <v>3023</v>
      </c>
      <c r="O201" s="99">
        <v>2129</v>
      </c>
      <c r="P201" s="100">
        <f t="shared" si="44"/>
        <v>43236</v>
      </c>
      <c r="Q201"/>
    </row>
    <row r="202" spans="1:17" ht="12.75" hidden="1" customHeight="1" x14ac:dyDescent="0.25">
      <c r="A202"/>
      <c r="B202" s="430"/>
      <c r="C202" s="131" t="s">
        <v>80</v>
      </c>
      <c r="D202" s="22">
        <v>944</v>
      </c>
      <c r="E202" s="23">
        <v>835</v>
      </c>
      <c r="F202" s="23">
        <v>1120</v>
      </c>
      <c r="G202" s="23">
        <v>1023</v>
      </c>
      <c r="H202" s="23">
        <v>1417</v>
      </c>
      <c r="I202" s="23">
        <v>1629</v>
      </c>
      <c r="J202" s="23">
        <v>1102</v>
      </c>
      <c r="K202" s="23">
        <v>1054</v>
      </c>
      <c r="L202" s="23">
        <v>836</v>
      </c>
      <c r="M202" s="23">
        <v>646</v>
      </c>
      <c r="N202" s="23">
        <v>719</v>
      </c>
      <c r="O202" s="23">
        <v>1154</v>
      </c>
      <c r="P202" s="24">
        <f t="shared" si="44"/>
        <v>12479</v>
      </c>
      <c r="Q202"/>
    </row>
    <row r="203" spans="1:17" ht="12.75" hidden="1" customHeight="1" x14ac:dyDescent="0.25">
      <c r="A203"/>
      <c r="B203" s="430"/>
      <c r="C203" s="131" t="s">
        <v>134</v>
      </c>
      <c r="D203" s="22">
        <v>7</v>
      </c>
      <c r="E203" s="23">
        <v>210</v>
      </c>
      <c r="F203" s="23">
        <v>716</v>
      </c>
      <c r="G203" s="23">
        <v>530</v>
      </c>
      <c r="H203" s="23">
        <v>598</v>
      </c>
      <c r="I203" s="23">
        <v>422</v>
      </c>
      <c r="J203" s="23">
        <v>227</v>
      </c>
      <c r="K203" s="23">
        <v>127</v>
      </c>
      <c r="L203" s="23">
        <v>104</v>
      </c>
      <c r="M203" s="23">
        <v>111</v>
      </c>
      <c r="N203" s="23">
        <v>96</v>
      </c>
      <c r="O203" s="23">
        <v>50</v>
      </c>
      <c r="P203" s="24">
        <f t="shared" si="44"/>
        <v>3198</v>
      </c>
      <c r="Q203"/>
    </row>
    <row r="204" spans="1:17" ht="12.75" hidden="1" customHeight="1" x14ac:dyDescent="0.25">
      <c r="A204"/>
      <c r="B204" s="430"/>
      <c r="C204" s="131" t="s">
        <v>110</v>
      </c>
      <c r="D204" s="22">
        <v>1149</v>
      </c>
      <c r="E204" s="23">
        <v>2468</v>
      </c>
      <c r="F204" s="23">
        <v>2977</v>
      </c>
      <c r="G204" s="23">
        <v>2766</v>
      </c>
      <c r="H204" s="23">
        <v>2615</v>
      </c>
      <c r="I204" s="23">
        <f>247+3781</f>
        <v>4028</v>
      </c>
      <c r="J204" s="23">
        <v>3415</v>
      </c>
      <c r="K204" s="23">
        <v>2927</v>
      </c>
      <c r="L204" s="23">
        <v>2864</v>
      </c>
      <c r="M204" s="23">
        <v>3707</v>
      </c>
      <c r="N204" s="23">
        <v>2910</v>
      </c>
      <c r="O204" s="23">
        <v>2648</v>
      </c>
      <c r="P204" s="24">
        <f t="shared" si="44"/>
        <v>34474</v>
      </c>
      <c r="Q204"/>
    </row>
    <row r="205" spans="1:17" ht="12.75" hidden="1" customHeight="1" x14ac:dyDescent="0.25">
      <c r="A205"/>
      <c r="B205" s="430"/>
      <c r="C205" s="131" t="s">
        <v>97</v>
      </c>
      <c r="D205" s="22">
        <v>1881</v>
      </c>
      <c r="E205" s="23">
        <v>1673</v>
      </c>
      <c r="F205" s="23">
        <v>2786</v>
      </c>
      <c r="G205" s="23">
        <v>2916</v>
      </c>
      <c r="H205" s="23">
        <v>2737</v>
      </c>
      <c r="I205" s="23">
        <f>2572</f>
        <v>2572</v>
      </c>
      <c r="J205" s="23">
        <v>1900</v>
      </c>
      <c r="K205" s="23">
        <v>1692</v>
      </c>
      <c r="L205" s="23">
        <v>1507</v>
      </c>
      <c r="M205" s="23">
        <v>885</v>
      </c>
      <c r="N205" s="23">
        <v>3874</v>
      </c>
      <c r="O205" s="23">
        <v>4437</v>
      </c>
      <c r="P205" s="24">
        <f t="shared" si="44"/>
        <v>28860</v>
      </c>
      <c r="Q205"/>
    </row>
    <row r="206" spans="1:17" ht="12.75" hidden="1" customHeight="1" thickBot="1" x14ac:dyDescent="0.3">
      <c r="A206"/>
      <c r="B206" s="431"/>
      <c r="C206" s="31" t="s">
        <v>0</v>
      </c>
      <c r="D206" s="32">
        <f>SUM(D200:D205)</f>
        <v>8355</v>
      </c>
      <c r="E206" s="32">
        <f t="shared" ref="E206:M206" si="49">SUM(E200:E205)</f>
        <v>9696</v>
      </c>
      <c r="F206" s="32">
        <f t="shared" si="49"/>
        <v>12735</v>
      </c>
      <c r="G206" s="32">
        <f t="shared" si="49"/>
        <v>12187</v>
      </c>
      <c r="H206" s="32">
        <f t="shared" si="49"/>
        <v>12428</v>
      </c>
      <c r="I206" s="32">
        <f t="shared" si="49"/>
        <v>13838</v>
      </c>
      <c r="J206" s="32">
        <f t="shared" si="49"/>
        <v>10455</v>
      </c>
      <c r="K206" s="32">
        <f t="shared" si="49"/>
        <v>9180</v>
      </c>
      <c r="L206" s="32">
        <f t="shared" si="49"/>
        <v>8514</v>
      </c>
      <c r="M206" s="32">
        <f t="shared" si="49"/>
        <v>7596</v>
      </c>
      <c r="N206" s="32">
        <f>SUM(N200:N205)</f>
        <v>10889</v>
      </c>
      <c r="O206" s="32">
        <f>SUM(O200:O205)</f>
        <v>10694</v>
      </c>
      <c r="P206" s="209">
        <f t="shared" si="44"/>
        <v>126567</v>
      </c>
      <c r="Q206"/>
    </row>
    <row r="207" spans="1:17" ht="12.75" hidden="1" customHeight="1" thickBot="1" x14ac:dyDescent="0.3">
      <c r="A207"/>
      <c r="B207" s="419" t="s">
        <v>2</v>
      </c>
      <c r="C207" s="420"/>
      <c r="D207" s="34">
        <f t="shared" ref="D207:P207" si="50">SUM(D184,D193,D196,D199,D206)</f>
        <v>51503</v>
      </c>
      <c r="E207" s="34">
        <f t="shared" si="50"/>
        <v>65015</v>
      </c>
      <c r="F207" s="34">
        <f t="shared" si="50"/>
        <v>74529</v>
      </c>
      <c r="G207" s="34">
        <f t="shared" si="50"/>
        <v>66660</v>
      </c>
      <c r="H207" s="34">
        <f t="shared" si="50"/>
        <v>68680</v>
      </c>
      <c r="I207" s="34">
        <f t="shared" si="50"/>
        <v>70163</v>
      </c>
      <c r="J207" s="34">
        <f t="shared" si="50"/>
        <v>57503</v>
      </c>
      <c r="K207" s="34">
        <f t="shared" si="50"/>
        <v>55555</v>
      </c>
      <c r="L207" s="34">
        <f t="shared" si="50"/>
        <v>53911</v>
      </c>
      <c r="M207" s="34">
        <f t="shared" si="50"/>
        <v>64328</v>
      </c>
      <c r="N207" s="34">
        <f t="shared" si="50"/>
        <v>72058</v>
      </c>
      <c r="O207" s="34">
        <f t="shared" si="50"/>
        <v>62172</v>
      </c>
      <c r="P207" s="210">
        <f t="shared" si="50"/>
        <v>762077</v>
      </c>
      <c r="Q207"/>
    </row>
    <row r="208" spans="1:17" ht="4.5" hidden="1" customHeight="1" x14ac:dyDescent="0.25">
      <c r="A208"/>
      <c r="J208" s="92"/>
      <c r="Q208"/>
    </row>
    <row r="209" spans="1:18" ht="9.65" hidden="1" customHeight="1" x14ac:dyDescent="0.25">
      <c r="A209"/>
      <c r="B209" s="63" t="s">
        <v>20</v>
      </c>
      <c r="C209" s="64"/>
      <c r="D209" s="65">
        <f>SUM(D210:D212)</f>
        <v>6100</v>
      </c>
      <c r="E209" s="65">
        <f t="shared" ref="E209:O209" si="51">SUM(E210:E212)</f>
        <v>6336</v>
      </c>
      <c r="F209" s="65">
        <f t="shared" si="51"/>
        <v>6619</v>
      </c>
      <c r="G209" s="65">
        <f t="shared" si="51"/>
        <v>5278</v>
      </c>
      <c r="H209" s="65">
        <f t="shared" si="51"/>
        <v>6599</v>
      </c>
      <c r="I209" s="65">
        <f t="shared" si="51"/>
        <v>5318</v>
      </c>
      <c r="J209" s="65">
        <f t="shared" si="51"/>
        <v>4002</v>
      </c>
      <c r="K209" s="65">
        <f t="shared" si="51"/>
        <v>4758</v>
      </c>
      <c r="L209" s="65">
        <f t="shared" si="51"/>
        <v>4367</v>
      </c>
      <c r="M209" s="65">
        <f t="shared" si="51"/>
        <v>5017</v>
      </c>
      <c r="N209" s="65">
        <f t="shared" si="51"/>
        <v>5828</v>
      </c>
      <c r="O209" s="65">
        <f t="shared" si="51"/>
        <v>5142</v>
      </c>
      <c r="P209" s="65">
        <f>SUM(P210:P212)</f>
        <v>65364</v>
      </c>
      <c r="R209" s="206"/>
    </row>
    <row r="210" spans="1:18" ht="9.75" hidden="1" customHeight="1" x14ac:dyDescent="0.25">
      <c r="A210"/>
      <c r="B210" s="67"/>
      <c r="C210" s="68" t="s">
        <v>102</v>
      </c>
      <c r="D210" s="79">
        <v>5241</v>
      </c>
      <c r="E210" s="79">
        <v>5430</v>
      </c>
      <c r="F210" s="69">
        <v>5466</v>
      </c>
      <c r="G210" s="80">
        <v>5123</v>
      </c>
      <c r="H210" s="69">
        <v>5191</v>
      </c>
      <c r="I210" s="77">
        <v>4556</v>
      </c>
      <c r="J210" s="78">
        <v>3534</v>
      </c>
      <c r="K210" s="72">
        <v>4193</v>
      </c>
      <c r="L210" s="72">
        <v>3739</v>
      </c>
      <c r="M210" s="72">
        <v>4246</v>
      </c>
      <c r="N210" s="72">
        <v>4760</v>
      </c>
      <c r="O210" s="72">
        <v>4196</v>
      </c>
      <c r="P210" s="203">
        <f>SUM(D210:O210)</f>
        <v>55675</v>
      </c>
    </row>
    <row r="211" spans="1:18" ht="9.75" hidden="1" customHeight="1" x14ac:dyDescent="0.25">
      <c r="A211"/>
      <c r="B211" s="67"/>
      <c r="C211" s="68" t="s">
        <v>103</v>
      </c>
      <c r="D211" s="69">
        <v>777</v>
      </c>
      <c r="E211" s="69">
        <v>827</v>
      </c>
      <c r="F211" s="69">
        <v>1070</v>
      </c>
      <c r="G211" s="69">
        <v>120</v>
      </c>
      <c r="H211" s="69">
        <v>1365</v>
      </c>
      <c r="I211" s="69">
        <v>742</v>
      </c>
      <c r="J211" s="69">
        <v>466</v>
      </c>
      <c r="K211" s="69">
        <v>402</v>
      </c>
      <c r="L211" s="69">
        <v>407</v>
      </c>
      <c r="M211" s="69">
        <v>640</v>
      </c>
      <c r="N211" s="69">
        <v>953</v>
      </c>
      <c r="O211" s="69">
        <v>794</v>
      </c>
      <c r="P211" s="203">
        <f>SUM(D211:O211)</f>
        <v>8563</v>
      </c>
    </row>
    <row r="212" spans="1:18" ht="9.75" hidden="1" customHeight="1" x14ac:dyDescent="0.25">
      <c r="A212"/>
      <c r="B212" s="71"/>
      <c r="C212" s="68" t="s">
        <v>154</v>
      </c>
      <c r="D212" s="69">
        <v>82</v>
      </c>
      <c r="E212" s="69">
        <v>79</v>
      </c>
      <c r="F212" s="69">
        <v>83</v>
      </c>
      <c r="G212" s="69">
        <v>35</v>
      </c>
      <c r="H212" s="69">
        <v>43</v>
      </c>
      <c r="I212" s="69">
        <v>20</v>
      </c>
      <c r="J212" s="69">
        <v>2</v>
      </c>
      <c r="K212" s="69">
        <v>163</v>
      </c>
      <c r="L212" s="69">
        <v>221</v>
      </c>
      <c r="M212" s="69">
        <v>131</v>
      </c>
      <c r="N212" s="69">
        <v>115</v>
      </c>
      <c r="O212" s="69">
        <v>152</v>
      </c>
      <c r="P212" s="203">
        <f>SUM(D212:O212)</f>
        <v>1126</v>
      </c>
    </row>
    <row r="213" spans="1:18" ht="4.5" hidden="1" customHeight="1" x14ac:dyDescent="0.25">
      <c r="A213"/>
      <c r="J213" s="92"/>
      <c r="Q213"/>
    </row>
    <row r="214" spans="1:18" ht="10.25" hidden="1" customHeight="1" x14ac:dyDescent="0.25">
      <c r="A214"/>
      <c r="B214" s="73" t="s">
        <v>21</v>
      </c>
      <c r="C214" s="74"/>
      <c r="D214" s="65">
        <f t="shared" ref="D214:P214" si="52">SUM(D215:D217)</f>
        <v>2539</v>
      </c>
      <c r="E214" s="65">
        <f t="shared" si="52"/>
        <v>2240</v>
      </c>
      <c r="F214" s="65">
        <f t="shared" si="52"/>
        <v>2215</v>
      </c>
      <c r="G214" s="65">
        <f t="shared" si="52"/>
        <v>2232</v>
      </c>
      <c r="H214" s="65">
        <f t="shared" si="52"/>
        <v>2630</v>
      </c>
      <c r="I214" s="65">
        <f t="shared" si="52"/>
        <v>4113</v>
      </c>
      <c r="J214" s="65">
        <f t="shared" si="52"/>
        <v>2815</v>
      </c>
      <c r="K214" s="65">
        <f t="shared" si="52"/>
        <v>3001</v>
      </c>
      <c r="L214" s="65">
        <f t="shared" si="52"/>
        <v>2947</v>
      </c>
      <c r="M214" s="65">
        <f t="shared" si="52"/>
        <v>4849</v>
      </c>
      <c r="N214" s="65">
        <f t="shared" si="52"/>
        <v>4895</v>
      </c>
      <c r="O214" s="65">
        <f t="shared" si="52"/>
        <v>5165</v>
      </c>
      <c r="P214" s="65">
        <f t="shared" si="52"/>
        <v>39641</v>
      </c>
    </row>
    <row r="215" spans="1:18" ht="9.9" hidden="1" customHeight="1" x14ac:dyDescent="0.25">
      <c r="A215"/>
      <c r="B215" s="67"/>
      <c r="C215" s="68" t="s">
        <v>40</v>
      </c>
      <c r="D215" s="93">
        <v>996</v>
      </c>
      <c r="E215" s="93">
        <v>1012</v>
      </c>
      <c r="F215" s="93">
        <v>1230</v>
      </c>
      <c r="G215" s="69">
        <v>1603</v>
      </c>
      <c r="H215" s="69">
        <v>901</v>
      </c>
      <c r="I215" s="69">
        <v>1162</v>
      </c>
      <c r="J215" s="69">
        <v>673</v>
      </c>
      <c r="K215" s="69">
        <v>401</v>
      </c>
      <c r="L215" s="69">
        <v>407</v>
      </c>
      <c r="M215" s="69">
        <v>303</v>
      </c>
      <c r="N215" s="69">
        <v>321</v>
      </c>
      <c r="O215" s="69">
        <v>310</v>
      </c>
      <c r="P215" s="202">
        <f>SUM(D215:O215)</f>
        <v>9319</v>
      </c>
    </row>
    <row r="216" spans="1:18" ht="9.9" hidden="1" customHeight="1" x14ac:dyDescent="0.25">
      <c r="A216"/>
      <c r="B216" s="67"/>
      <c r="C216" s="68" t="s">
        <v>85</v>
      </c>
      <c r="D216" s="69">
        <v>1189</v>
      </c>
      <c r="E216" s="69">
        <v>842</v>
      </c>
      <c r="F216" s="69">
        <v>608</v>
      </c>
      <c r="G216" s="69">
        <v>422</v>
      </c>
      <c r="H216" s="69">
        <v>1432</v>
      </c>
      <c r="I216" s="69">
        <v>2258</v>
      </c>
      <c r="J216" s="69">
        <v>1588</v>
      </c>
      <c r="K216" s="69">
        <v>1856</v>
      </c>
      <c r="L216" s="69">
        <v>1869</v>
      </c>
      <c r="M216" s="69">
        <v>3537</v>
      </c>
      <c r="N216" s="69">
        <v>3498</v>
      </c>
      <c r="O216" s="69">
        <v>3612</v>
      </c>
      <c r="P216" s="202">
        <f>SUM(D216:O216)</f>
        <v>22711</v>
      </c>
    </row>
    <row r="217" spans="1:18" ht="9.9" hidden="1" customHeight="1" x14ac:dyDescent="0.25">
      <c r="A217"/>
      <c r="B217" s="71"/>
      <c r="C217" s="68" t="s">
        <v>88</v>
      </c>
      <c r="D217" s="69">
        <v>354</v>
      </c>
      <c r="E217" s="69">
        <v>386</v>
      </c>
      <c r="F217" s="69">
        <v>377</v>
      </c>
      <c r="G217" s="69">
        <v>207</v>
      </c>
      <c r="H217" s="69">
        <v>297</v>
      </c>
      <c r="I217" s="69">
        <v>693</v>
      </c>
      <c r="J217" s="69">
        <v>554</v>
      </c>
      <c r="K217" s="69">
        <v>744</v>
      </c>
      <c r="L217" s="69">
        <v>671</v>
      </c>
      <c r="M217" s="69">
        <v>1009</v>
      </c>
      <c r="N217" s="69">
        <v>1076</v>
      </c>
      <c r="O217" s="69">
        <v>1243</v>
      </c>
      <c r="P217" s="202">
        <f>SUM(D217:O217)</f>
        <v>7611</v>
      </c>
    </row>
    <row r="218" spans="1:18" ht="6" hidden="1" customHeight="1" x14ac:dyDescent="0.25">
      <c r="A218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6"/>
    </row>
    <row r="219" spans="1:18" ht="11.4" hidden="1" customHeight="1" x14ac:dyDescent="0.25">
      <c r="A219"/>
      <c r="B219" s="63" t="s">
        <v>23</v>
      </c>
      <c r="C219" s="64"/>
      <c r="D219" s="65">
        <f>SUM(D220:D223)</f>
        <v>9131</v>
      </c>
      <c r="E219" s="65">
        <f t="shared" ref="E219:P219" si="53">SUM(E220:E223)</f>
        <v>9817</v>
      </c>
      <c r="F219" s="65">
        <f t="shared" si="53"/>
        <v>10916</v>
      </c>
      <c r="G219" s="65">
        <f t="shared" si="53"/>
        <v>9997</v>
      </c>
      <c r="H219" s="65">
        <f t="shared" si="53"/>
        <v>11581</v>
      </c>
      <c r="I219" s="65">
        <f t="shared" si="53"/>
        <v>11528</v>
      </c>
      <c r="J219" s="65">
        <f t="shared" si="53"/>
        <v>8531</v>
      </c>
      <c r="K219" s="65">
        <f t="shared" si="53"/>
        <v>8820</v>
      </c>
      <c r="L219" s="65">
        <f t="shared" si="53"/>
        <v>8159</v>
      </c>
      <c r="M219" s="65">
        <f t="shared" si="53"/>
        <v>8192</v>
      </c>
      <c r="N219" s="65">
        <f t="shared" si="53"/>
        <v>7980</v>
      </c>
      <c r="O219" s="65">
        <f t="shared" si="53"/>
        <v>8410</v>
      </c>
      <c r="P219" s="65">
        <f t="shared" si="53"/>
        <v>113062</v>
      </c>
    </row>
    <row r="220" spans="1:18" ht="9.75" hidden="1" customHeight="1" x14ac:dyDescent="0.25">
      <c r="A220"/>
      <c r="B220" s="67"/>
      <c r="C220" s="102" t="s">
        <v>56</v>
      </c>
      <c r="D220" s="103">
        <v>11</v>
      </c>
      <c r="E220" s="103">
        <v>2</v>
      </c>
      <c r="F220" s="104">
        <v>0</v>
      </c>
      <c r="G220" s="105">
        <v>0</v>
      </c>
      <c r="H220" s="104">
        <v>0</v>
      </c>
      <c r="I220" s="106">
        <v>0</v>
      </c>
      <c r="J220" s="106">
        <v>0</v>
      </c>
      <c r="K220" s="104">
        <v>0</v>
      </c>
      <c r="L220" s="104">
        <v>0</v>
      </c>
      <c r="M220" s="104">
        <v>0</v>
      </c>
      <c r="N220" s="104">
        <v>0</v>
      </c>
      <c r="O220" s="104">
        <v>0</v>
      </c>
      <c r="P220" s="202">
        <f>SUM(D220:O220)</f>
        <v>13</v>
      </c>
    </row>
    <row r="221" spans="1:18" ht="9.75" hidden="1" customHeight="1" x14ac:dyDescent="0.25">
      <c r="A221"/>
      <c r="B221" s="67"/>
      <c r="C221" s="68" t="s">
        <v>89</v>
      </c>
      <c r="D221" s="79">
        <v>2</v>
      </c>
      <c r="E221" s="79">
        <v>0</v>
      </c>
      <c r="F221" s="69">
        <v>0</v>
      </c>
      <c r="G221" s="80">
        <v>0</v>
      </c>
      <c r="H221" s="69">
        <v>0</v>
      </c>
      <c r="I221" s="77">
        <v>0</v>
      </c>
      <c r="J221" s="78">
        <v>0</v>
      </c>
      <c r="K221" s="72">
        <v>0</v>
      </c>
      <c r="L221" s="72">
        <v>0</v>
      </c>
      <c r="M221" s="72">
        <v>0</v>
      </c>
      <c r="N221" s="72">
        <v>0</v>
      </c>
      <c r="O221" s="72">
        <v>0</v>
      </c>
      <c r="P221" s="202">
        <f>SUM(D221:O221)</f>
        <v>2</v>
      </c>
    </row>
    <row r="222" spans="1:18" ht="9.75" hidden="1" customHeight="1" x14ac:dyDescent="0.25">
      <c r="A222"/>
      <c r="B222" s="67"/>
      <c r="C222" s="102" t="s">
        <v>146</v>
      </c>
      <c r="D222" s="103">
        <v>5407</v>
      </c>
      <c r="E222" s="103">
        <v>5419</v>
      </c>
      <c r="F222" s="104">
        <v>5561</v>
      </c>
      <c r="G222" s="105">
        <v>4818</v>
      </c>
      <c r="H222" s="104">
        <v>4684</v>
      </c>
      <c r="I222" s="106">
        <v>4012</v>
      </c>
      <c r="J222" s="106">
        <v>3409</v>
      </c>
      <c r="K222" s="104">
        <v>3492</v>
      </c>
      <c r="L222" s="104">
        <v>3509</v>
      </c>
      <c r="M222" s="104">
        <v>3913</v>
      </c>
      <c r="N222" s="104">
        <v>3308</v>
      </c>
      <c r="O222" s="104">
        <v>3610</v>
      </c>
      <c r="P222" s="202">
        <f>SUM(D222:O222)</f>
        <v>51142</v>
      </c>
    </row>
    <row r="223" spans="1:18" ht="9.75" hidden="1" customHeight="1" x14ac:dyDescent="0.25">
      <c r="A223"/>
      <c r="B223" s="71"/>
      <c r="C223" s="68" t="s">
        <v>147</v>
      </c>
      <c r="D223" s="69">
        <v>3711</v>
      </c>
      <c r="E223" s="69">
        <v>4396</v>
      </c>
      <c r="F223" s="69">
        <v>5355</v>
      </c>
      <c r="G223" s="69">
        <v>5179</v>
      </c>
      <c r="H223" s="69">
        <v>6897</v>
      </c>
      <c r="I223" s="69">
        <v>7516</v>
      </c>
      <c r="J223" s="69">
        <v>5122</v>
      </c>
      <c r="K223" s="69">
        <v>5328</v>
      </c>
      <c r="L223" s="69">
        <v>4650</v>
      </c>
      <c r="M223" s="69">
        <v>4279</v>
      </c>
      <c r="N223" s="69">
        <v>4672</v>
      </c>
      <c r="O223" s="69">
        <v>4800</v>
      </c>
      <c r="P223" s="202">
        <f>SUM(D223:O223)</f>
        <v>61905</v>
      </c>
    </row>
    <row r="224" spans="1:18" ht="6" hidden="1" customHeight="1" x14ac:dyDescent="0.25">
      <c r="A224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6"/>
    </row>
    <row r="225" spans="2:16" ht="9.9" hidden="1" customHeight="1" x14ac:dyDescent="0.25">
      <c r="B225" s="63" t="s">
        <v>63</v>
      </c>
      <c r="C225" s="64"/>
      <c r="D225" s="65">
        <f t="shared" ref="D225:P225" si="54">SUM(D226:D231)</f>
        <v>854</v>
      </c>
      <c r="E225" s="65">
        <f t="shared" si="54"/>
        <v>3225</v>
      </c>
      <c r="F225" s="65">
        <f t="shared" si="54"/>
        <v>4801</v>
      </c>
      <c r="G225" s="65">
        <f t="shared" si="54"/>
        <v>4048</v>
      </c>
      <c r="H225" s="65">
        <f t="shared" si="54"/>
        <v>2522</v>
      </c>
      <c r="I225" s="65">
        <f t="shared" si="54"/>
        <v>3162</v>
      </c>
      <c r="J225" s="65">
        <f t="shared" si="54"/>
        <v>2644</v>
      </c>
      <c r="K225" s="65">
        <f t="shared" si="54"/>
        <v>2695</v>
      </c>
      <c r="L225" s="65">
        <f t="shared" si="54"/>
        <v>2501</v>
      </c>
      <c r="M225" s="65">
        <f t="shared" si="54"/>
        <v>2934</v>
      </c>
      <c r="N225" s="65">
        <f t="shared" si="54"/>
        <v>3209</v>
      </c>
      <c r="O225" s="65">
        <f t="shared" si="54"/>
        <v>2112</v>
      </c>
      <c r="P225" s="65">
        <f t="shared" si="54"/>
        <v>34707</v>
      </c>
    </row>
    <row r="226" spans="2:16" ht="9.9" hidden="1" customHeight="1" x14ac:dyDescent="0.25">
      <c r="B226" s="67"/>
      <c r="C226" s="68" t="s">
        <v>77</v>
      </c>
      <c r="D226" s="79">
        <v>47</v>
      </c>
      <c r="E226" s="79">
        <v>3</v>
      </c>
      <c r="F226" s="69">
        <v>2</v>
      </c>
      <c r="G226" s="80">
        <v>1</v>
      </c>
      <c r="H226" s="69">
        <v>0</v>
      </c>
      <c r="I226" s="77">
        <v>0</v>
      </c>
      <c r="J226" s="78">
        <v>0</v>
      </c>
      <c r="K226" s="72">
        <v>0</v>
      </c>
      <c r="L226" s="72">
        <v>0</v>
      </c>
      <c r="M226" s="72">
        <v>0</v>
      </c>
      <c r="N226" s="72">
        <v>0</v>
      </c>
      <c r="O226" s="72">
        <v>0</v>
      </c>
      <c r="P226" s="203">
        <f t="shared" ref="P226:P231" si="55">SUM(D226:O226)</f>
        <v>53</v>
      </c>
    </row>
    <row r="227" spans="2:16" ht="9.9" hidden="1" customHeight="1" x14ac:dyDescent="0.25">
      <c r="B227" s="67"/>
      <c r="C227" s="68" t="s">
        <v>152</v>
      </c>
      <c r="D227" s="79">
        <v>186</v>
      </c>
      <c r="E227" s="79">
        <v>95</v>
      </c>
      <c r="F227" s="69">
        <v>52</v>
      </c>
      <c r="G227" s="80">
        <v>24</v>
      </c>
      <c r="H227" s="69">
        <v>10</v>
      </c>
      <c r="I227" s="77">
        <v>28</v>
      </c>
      <c r="J227" s="77">
        <v>6</v>
      </c>
      <c r="K227" s="69">
        <v>0</v>
      </c>
      <c r="L227" s="69">
        <v>0</v>
      </c>
      <c r="M227" s="69">
        <v>0</v>
      </c>
      <c r="N227" s="69">
        <v>0</v>
      </c>
      <c r="O227" s="69">
        <v>0</v>
      </c>
      <c r="P227" s="203">
        <f t="shared" si="55"/>
        <v>401</v>
      </c>
    </row>
    <row r="228" spans="2:16" ht="9.9" hidden="1" customHeight="1" x14ac:dyDescent="0.25">
      <c r="B228" s="67"/>
      <c r="C228" s="68" t="s">
        <v>153</v>
      </c>
      <c r="D228" s="79">
        <v>1</v>
      </c>
      <c r="E228" s="79">
        <v>0</v>
      </c>
      <c r="F228" s="69">
        <v>0</v>
      </c>
      <c r="G228" s="80">
        <v>0</v>
      </c>
      <c r="H228" s="69">
        <v>0</v>
      </c>
      <c r="I228" s="77">
        <v>0</v>
      </c>
      <c r="J228" s="77">
        <v>0</v>
      </c>
      <c r="K228" s="69">
        <v>0</v>
      </c>
      <c r="L228" s="69">
        <v>0</v>
      </c>
      <c r="M228" s="69">
        <v>0</v>
      </c>
      <c r="N228" s="69">
        <v>0</v>
      </c>
      <c r="O228" s="69">
        <v>0</v>
      </c>
      <c r="P228" s="203">
        <f t="shared" si="55"/>
        <v>1</v>
      </c>
    </row>
    <row r="229" spans="2:16" ht="9.9" hidden="1" customHeight="1" x14ac:dyDescent="0.25">
      <c r="B229" s="67"/>
      <c r="C229" s="68" t="s">
        <v>150</v>
      </c>
      <c r="D229" s="79">
        <v>620</v>
      </c>
      <c r="E229" s="79">
        <v>3127</v>
      </c>
      <c r="F229" s="69">
        <v>3758</v>
      </c>
      <c r="G229" s="80">
        <v>2370</v>
      </c>
      <c r="H229" s="69">
        <v>1474</v>
      </c>
      <c r="I229" s="77">
        <v>1529</v>
      </c>
      <c r="J229" s="77">
        <v>1564</v>
      </c>
      <c r="K229" s="69">
        <v>1187</v>
      </c>
      <c r="L229" s="69">
        <v>1237</v>
      </c>
      <c r="M229" s="69">
        <v>1326</v>
      </c>
      <c r="N229" s="69">
        <v>1323</v>
      </c>
      <c r="O229" s="69">
        <v>1218</v>
      </c>
      <c r="P229" s="203">
        <f t="shared" si="55"/>
        <v>20733</v>
      </c>
    </row>
    <row r="230" spans="2:16" ht="9.9" hidden="1" customHeight="1" x14ac:dyDescent="0.25">
      <c r="B230" s="67"/>
      <c r="C230" s="68" t="s">
        <v>151</v>
      </c>
      <c r="D230" s="79">
        <v>0</v>
      </c>
      <c r="E230" s="79">
        <v>0</v>
      </c>
      <c r="F230" s="69">
        <v>989</v>
      </c>
      <c r="G230" s="80">
        <v>1653</v>
      </c>
      <c r="H230" s="69">
        <v>974</v>
      </c>
      <c r="I230" s="77">
        <v>941</v>
      </c>
      <c r="J230" s="77">
        <v>836</v>
      </c>
      <c r="K230" s="69">
        <v>1153</v>
      </c>
      <c r="L230" s="69">
        <v>1056</v>
      </c>
      <c r="M230" s="69">
        <v>1271</v>
      </c>
      <c r="N230" s="69">
        <v>1454</v>
      </c>
      <c r="O230" s="69">
        <v>682</v>
      </c>
      <c r="P230" s="203">
        <f t="shared" si="55"/>
        <v>11009</v>
      </c>
    </row>
    <row r="231" spans="2:16" ht="9.9" hidden="1" customHeight="1" x14ac:dyDescent="0.25">
      <c r="B231" s="71"/>
      <c r="C231" s="68" t="s">
        <v>155</v>
      </c>
      <c r="D231" s="79">
        <v>0</v>
      </c>
      <c r="E231" s="79">
        <v>0</v>
      </c>
      <c r="F231" s="69">
        <v>0</v>
      </c>
      <c r="G231" s="80">
        <v>0</v>
      </c>
      <c r="H231" s="69">
        <v>64</v>
      </c>
      <c r="I231" s="77">
        <v>664</v>
      </c>
      <c r="J231" s="77">
        <v>238</v>
      </c>
      <c r="K231" s="69">
        <v>355</v>
      </c>
      <c r="L231" s="69">
        <v>208</v>
      </c>
      <c r="M231" s="69">
        <v>337</v>
      </c>
      <c r="N231" s="69">
        <v>432</v>
      </c>
      <c r="O231" s="69">
        <v>212</v>
      </c>
      <c r="P231" s="203">
        <f t="shared" si="55"/>
        <v>2510</v>
      </c>
    </row>
    <row r="232" spans="2:16" ht="6.65" hidden="1" customHeight="1" x14ac:dyDescent="0.25"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76"/>
    </row>
    <row r="233" spans="2:16" ht="9.9" hidden="1" customHeight="1" x14ac:dyDescent="0.25">
      <c r="B233" s="63" t="s">
        <v>43</v>
      </c>
      <c r="C233" s="64"/>
      <c r="D233" s="65">
        <f>SUM(D234:D235)</f>
        <v>3636</v>
      </c>
      <c r="E233" s="65">
        <f>SUM(E234:E235)</f>
        <v>3561</v>
      </c>
      <c r="F233" s="65">
        <f t="shared" ref="F233:P233" si="56">SUM(F234:F235)</f>
        <v>4236</v>
      </c>
      <c r="G233" s="65">
        <f t="shared" si="56"/>
        <v>4112</v>
      </c>
      <c r="H233" s="65">
        <f t="shared" si="56"/>
        <v>4241</v>
      </c>
      <c r="I233" s="65">
        <f t="shared" si="56"/>
        <v>4441</v>
      </c>
      <c r="J233" s="65">
        <f t="shared" si="56"/>
        <v>3190</v>
      </c>
      <c r="K233" s="65">
        <f t="shared" si="56"/>
        <v>2976</v>
      </c>
      <c r="L233" s="65">
        <f t="shared" si="56"/>
        <v>3126</v>
      </c>
      <c r="M233" s="65">
        <f t="shared" si="56"/>
        <v>3432</v>
      </c>
      <c r="N233" s="65">
        <f t="shared" si="56"/>
        <v>3205</v>
      </c>
      <c r="O233" s="65">
        <f t="shared" si="56"/>
        <v>3588</v>
      </c>
      <c r="P233" s="65">
        <f t="shared" si="56"/>
        <v>43744</v>
      </c>
    </row>
    <row r="234" spans="2:16" ht="9.9" hidden="1" customHeight="1" x14ac:dyDescent="0.25">
      <c r="B234" s="67"/>
      <c r="C234" s="68" t="s">
        <v>105</v>
      </c>
      <c r="D234" s="79">
        <v>2044</v>
      </c>
      <c r="E234" s="79">
        <v>1955</v>
      </c>
      <c r="F234" s="69">
        <v>2454</v>
      </c>
      <c r="G234" s="80">
        <v>2409</v>
      </c>
      <c r="H234" s="69">
        <v>2544</v>
      </c>
      <c r="I234" s="77">
        <v>2755</v>
      </c>
      <c r="J234" s="77">
        <v>1546</v>
      </c>
      <c r="K234" s="69">
        <v>1659</v>
      </c>
      <c r="L234" s="69">
        <v>1785</v>
      </c>
      <c r="M234" s="69">
        <v>1922</v>
      </c>
      <c r="N234" s="69">
        <v>1827</v>
      </c>
      <c r="O234" s="69">
        <v>1883</v>
      </c>
      <c r="P234" s="203">
        <f>SUM(D234:O234)</f>
        <v>24783</v>
      </c>
    </row>
    <row r="235" spans="2:16" ht="9.9" hidden="1" customHeight="1" x14ac:dyDescent="0.25">
      <c r="B235" s="71"/>
      <c r="C235" s="68" t="s">
        <v>106</v>
      </c>
      <c r="D235" s="79">
        <v>1592</v>
      </c>
      <c r="E235" s="79">
        <v>1606</v>
      </c>
      <c r="F235" s="69">
        <v>1782</v>
      </c>
      <c r="G235" s="80">
        <v>1703</v>
      </c>
      <c r="H235" s="69">
        <v>1697</v>
      </c>
      <c r="I235" s="77">
        <v>1686</v>
      </c>
      <c r="J235" s="77">
        <v>1644</v>
      </c>
      <c r="K235" s="69">
        <v>1317</v>
      </c>
      <c r="L235" s="69">
        <v>1341</v>
      </c>
      <c r="M235" s="69">
        <v>1510</v>
      </c>
      <c r="N235" s="69">
        <v>1378</v>
      </c>
      <c r="O235" s="69">
        <v>1705</v>
      </c>
      <c r="P235" s="203">
        <f>SUM(D235:O235)</f>
        <v>18961</v>
      </c>
    </row>
    <row r="236" spans="2:16" ht="6.65" hidden="1" customHeight="1" x14ac:dyDescent="0.25"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76"/>
    </row>
    <row r="237" spans="2:16" ht="9.9" hidden="1" customHeight="1" x14ac:dyDescent="0.25">
      <c r="B237" s="63" t="s">
        <v>5</v>
      </c>
      <c r="C237" s="64"/>
      <c r="D237" s="197">
        <f>SUM(D238:D241)</f>
        <v>2124</v>
      </c>
      <c r="E237" s="197">
        <f t="shared" ref="E237:P237" si="57">SUM(E238:E241)</f>
        <v>2776</v>
      </c>
      <c r="F237" s="197">
        <f t="shared" si="57"/>
        <v>2977</v>
      </c>
      <c r="G237" s="197">
        <f t="shared" si="57"/>
        <v>2774</v>
      </c>
      <c r="H237" s="197">
        <f t="shared" si="57"/>
        <v>2557</v>
      </c>
      <c r="I237" s="197">
        <f t="shared" si="57"/>
        <v>3353</v>
      </c>
      <c r="J237" s="197">
        <f t="shared" si="57"/>
        <v>2075</v>
      </c>
      <c r="K237" s="197">
        <f t="shared" si="57"/>
        <v>2775</v>
      </c>
      <c r="L237" s="197">
        <f t="shared" si="57"/>
        <v>5139</v>
      </c>
      <c r="M237" s="197">
        <f t="shared" si="57"/>
        <v>8331</v>
      </c>
      <c r="N237" s="197">
        <f t="shared" si="57"/>
        <v>8780</v>
      </c>
      <c r="O237" s="197">
        <f t="shared" si="57"/>
        <v>7682</v>
      </c>
      <c r="P237" s="197">
        <f t="shared" si="57"/>
        <v>51343</v>
      </c>
    </row>
    <row r="238" spans="2:16" ht="9.9" hidden="1" customHeight="1" x14ac:dyDescent="0.25">
      <c r="B238" s="67"/>
      <c r="C238" s="68" t="s">
        <v>72</v>
      </c>
      <c r="D238" s="69">
        <v>1063</v>
      </c>
      <c r="E238" s="69">
        <v>1240</v>
      </c>
      <c r="F238" s="69">
        <v>1054</v>
      </c>
      <c r="G238" s="69">
        <v>1136</v>
      </c>
      <c r="H238" s="69">
        <v>1310</v>
      </c>
      <c r="I238" s="69">
        <v>1323</v>
      </c>
      <c r="J238" s="77">
        <v>963</v>
      </c>
      <c r="K238" s="69">
        <v>968</v>
      </c>
      <c r="L238" s="69">
        <v>263</v>
      </c>
      <c r="M238" s="69">
        <v>161</v>
      </c>
      <c r="N238" s="69">
        <v>79</v>
      </c>
      <c r="O238" s="69">
        <v>54</v>
      </c>
      <c r="P238" s="203">
        <f>SUM(D238:O238)</f>
        <v>9614</v>
      </c>
    </row>
    <row r="239" spans="2:16" ht="9.9" hidden="1" customHeight="1" x14ac:dyDescent="0.25">
      <c r="B239" s="67"/>
      <c r="C239" s="68" t="s">
        <v>128</v>
      </c>
      <c r="D239" s="198">
        <v>1061</v>
      </c>
      <c r="E239" s="198">
        <v>1536</v>
      </c>
      <c r="F239" s="199">
        <v>1923</v>
      </c>
      <c r="G239" s="200">
        <v>1638</v>
      </c>
      <c r="H239" s="199">
        <v>1247</v>
      </c>
      <c r="I239" s="201">
        <v>2030</v>
      </c>
      <c r="J239" s="77">
        <v>1112</v>
      </c>
      <c r="K239" s="69">
        <v>1257</v>
      </c>
      <c r="L239" s="69">
        <v>547</v>
      </c>
      <c r="M239" s="69">
        <v>224</v>
      </c>
      <c r="N239" s="69">
        <v>44</v>
      </c>
      <c r="O239" s="69">
        <v>1</v>
      </c>
      <c r="P239" s="203">
        <f>SUM(D239:O239)</f>
        <v>12620</v>
      </c>
    </row>
    <row r="240" spans="2:16" ht="9.9" hidden="1" customHeight="1" x14ac:dyDescent="0.25">
      <c r="B240" s="67"/>
      <c r="C240" s="68" t="s">
        <v>156</v>
      </c>
      <c r="D240" s="198">
        <v>0</v>
      </c>
      <c r="E240" s="198">
        <v>0</v>
      </c>
      <c r="F240" s="199">
        <v>0</v>
      </c>
      <c r="G240" s="200">
        <v>0</v>
      </c>
      <c r="H240" s="199">
        <v>0</v>
      </c>
      <c r="I240" s="201">
        <v>0</v>
      </c>
      <c r="J240" s="77">
        <v>0</v>
      </c>
      <c r="K240" s="69">
        <v>550</v>
      </c>
      <c r="L240" s="69">
        <v>4329</v>
      </c>
      <c r="M240" s="69">
        <v>3277</v>
      </c>
      <c r="N240" s="69">
        <v>1708</v>
      </c>
      <c r="O240" s="69">
        <v>2011</v>
      </c>
      <c r="P240" s="203">
        <f>SUM(D240:O240)</f>
        <v>11875</v>
      </c>
    </row>
    <row r="241" spans="1:17" ht="9.9" hidden="1" customHeight="1" x14ac:dyDescent="0.25">
      <c r="B241" s="71"/>
      <c r="C241" s="68" t="s">
        <v>157</v>
      </c>
      <c r="D241" s="198">
        <v>0</v>
      </c>
      <c r="E241" s="198">
        <v>0</v>
      </c>
      <c r="F241" s="199">
        <v>0</v>
      </c>
      <c r="G241" s="200">
        <v>0</v>
      </c>
      <c r="H241" s="199">
        <v>0</v>
      </c>
      <c r="I241" s="201">
        <v>0</v>
      </c>
      <c r="J241" s="77">
        <v>0</v>
      </c>
      <c r="K241" s="69">
        <v>0</v>
      </c>
      <c r="L241" s="69">
        <v>0</v>
      </c>
      <c r="M241" s="69">
        <v>4669</v>
      </c>
      <c r="N241" s="69">
        <v>6949</v>
      </c>
      <c r="O241" s="69">
        <v>5616</v>
      </c>
      <c r="P241" s="203">
        <f>SUM(D241:O241)</f>
        <v>17234</v>
      </c>
    </row>
    <row r="242" spans="1:17" ht="7.75" hidden="1" customHeight="1" x14ac:dyDescent="0.25"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76"/>
    </row>
    <row r="243" spans="1:17" ht="10.25" hidden="1" customHeight="1" x14ac:dyDescent="0.25">
      <c r="B243" s="73" t="s">
        <v>118</v>
      </c>
      <c r="C243" s="74"/>
      <c r="D243" s="65">
        <f t="shared" ref="D243:P243" si="58">SUM(D244:D245)</f>
        <v>76</v>
      </c>
      <c r="E243" s="65">
        <f t="shared" si="58"/>
        <v>1911</v>
      </c>
      <c r="F243" s="65">
        <f t="shared" si="58"/>
        <v>1701</v>
      </c>
      <c r="G243" s="65">
        <f t="shared" si="58"/>
        <v>2123</v>
      </c>
      <c r="H243" s="65">
        <f t="shared" si="58"/>
        <v>2396</v>
      </c>
      <c r="I243" s="65">
        <f t="shared" si="58"/>
        <v>1297</v>
      </c>
      <c r="J243" s="65">
        <f t="shared" si="58"/>
        <v>1350</v>
      </c>
      <c r="K243" s="65">
        <f t="shared" si="58"/>
        <v>1061</v>
      </c>
      <c r="L243" s="65">
        <f t="shared" si="58"/>
        <v>705</v>
      </c>
      <c r="M243" s="65">
        <f t="shared" si="58"/>
        <v>1471</v>
      </c>
      <c r="N243" s="65">
        <f t="shared" si="58"/>
        <v>1723</v>
      </c>
      <c r="O243" s="65">
        <f t="shared" si="58"/>
        <v>791</v>
      </c>
      <c r="P243" s="65">
        <f t="shared" si="58"/>
        <v>16605</v>
      </c>
    </row>
    <row r="244" spans="1:17" ht="9" hidden="1" customHeight="1" x14ac:dyDescent="0.25">
      <c r="B244" s="67"/>
      <c r="C244" s="68" t="s">
        <v>159</v>
      </c>
      <c r="D244" s="79">
        <v>76</v>
      </c>
      <c r="E244" s="79">
        <v>1911</v>
      </c>
      <c r="F244" s="79">
        <v>1701</v>
      </c>
      <c r="G244" s="79">
        <v>2123</v>
      </c>
      <c r="H244" s="79">
        <v>2396</v>
      </c>
      <c r="I244" s="79">
        <v>1297</v>
      </c>
      <c r="J244" s="79">
        <v>1350</v>
      </c>
      <c r="K244" s="79">
        <v>1061</v>
      </c>
      <c r="L244" s="79">
        <v>612</v>
      </c>
      <c r="M244" s="79">
        <v>1376</v>
      </c>
      <c r="N244" s="72">
        <v>1669</v>
      </c>
      <c r="O244" s="72">
        <v>763</v>
      </c>
      <c r="P244" s="202">
        <f>SUM(D244:O244)</f>
        <v>16335</v>
      </c>
    </row>
    <row r="245" spans="1:17" s="11" customFormat="1" ht="9" hidden="1" customHeight="1" x14ac:dyDescent="0.25">
      <c r="A245" s="15"/>
      <c r="B245" s="71"/>
      <c r="C245" s="68" t="s">
        <v>160</v>
      </c>
      <c r="D245" s="79">
        <v>0</v>
      </c>
      <c r="E245" s="79">
        <v>0</v>
      </c>
      <c r="F245" s="79">
        <v>0</v>
      </c>
      <c r="G245" s="79">
        <v>0</v>
      </c>
      <c r="H245" s="79">
        <v>0</v>
      </c>
      <c r="I245" s="79">
        <v>0</v>
      </c>
      <c r="J245" s="79">
        <v>0</v>
      </c>
      <c r="K245" s="79">
        <v>0</v>
      </c>
      <c r="L245" s="79">
        <v>93</v>
      </c>
      <c r="M245" s="79">
        <v>95</v>
      </c>
      <c r="N245" s="72">
        <v>54</v>
      </c>
      <c r="O245" s="72">
        <v>28</v>
      </c>
      <c r="P245" s="202">
        <f>SUM(D245:O245)</f>
        <v>270</v>
      </c>
      <c r="Q245" s="90"/>
    </row>
    <row r="246" spans="1:17" ht="7.25" hidden="1" customHeight="1" x14ac:dyDescent="0.25"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76"/>
    </row>
    <row r="247" spans="1:17" ht="10.25" hidden="1" customHeight="1" x14ac:dyDescent="0.25">
      <c r="B247" s="73" t="s">
        <v>67</v>
      </c>
      <c r="C247" s="74"/>
      <c r="D247" s="65">
        <f t="shared" ref="D247:P247" si="59">SUM(D248:D249)</f>
        <v>4057</v>
      </c>
      <c r="E247" s="65">
        <f t="shared" si="59"/>
        <v>4290</v>
      </c>
      <c r="F247" s="65">
        <f t="shared" si="59"/>
        <v>4670</v>
      </c>
      <c r="G247" s="65">
        <f t="shared" si="59"/>
        <v>4573</v>
      </c>
      <c r="H247" s="65">
        <f t="shared" si="59"/>
        <v>4813</v>
      </c>
      <c r="I247" s="65">
        <f t="shared" si="59"/>
        <v>4718</v>
      </c>
      <c r="J247" s="65">
        <f t="shared" si="59"/>
        <v>3252</v>
      </c>
      <c r="K247" s="65">
        <f t="shared" si="59"/>
        <v>2923</v>
      </c>
      <c r="L247" s="65">
        <f t="shared" si="59"/>
        <v>2819</v>
      </c>
      <c r="M247" s="65">
        <f t="shared" si="59"/>
        <v>1969</v>
      </c>
      <c r="N247" s="65">
        <f t="shared" si="59"/>
        <v>3023</v>
      </c>
      <c r="O247" s="65">
        <f t="shared" si="59"/>
        <v>2129</v>
      </c>
      <c r="P247" s="65">
        <f t="shared" si="59"/>
        <v>43236</v>
      </c>
    </row>
    <row r="248" spans="1:17" ht="9" hidden="1" customHeight="1" x14ac:dyDescent="0.25">
      <c r="B248" s="67"/>
      <c r="C248" s="68" t="s">
        <v>100</v>
      </c>
      <c r="D248" s="79">
        <v>4052</v>
      </c>
      <c r="E248" s="79">
        <v>4268</v>
      </c>
      <c r="F248" s="79">
        <v>4356</v>
      </c>
      <c r="G248" s="79">
        <v>4407</v>
      </c>
      <c r="H248" s="79">
        <v>4701</v>
      </c>
      <c r="I248" s="79">
        <v>4647</v>
      </c>
      <c r="J248" s="79">
        <v>3169</v>
      </c>
      <c r="K248" s="79">
        <v>2855</v>
      </c>
      <c r="L248" s="79">
        <v>2765</v>
      </c>
      <c r="M248" s="79">
        <v>1931</v>
      </c>
      <c r="N248" s="72">
        <v>2956</v>
      </c>
      <c r="O248" s="72">
        <v>2092</v>
      </c>
      <c r="P248" s="202">
        <f>SUM(D248:O248)</f>
        <v>42199</v>
      </c>
    </row>
    <row r="249" spans="1:17" s="11" customFormat="1" ht="9" hidden="1" customHeight="1" x14ac:dyDescent="0.25">
      <c r="A249" s="15"/>
      <c r="B249" s="71"/>
      <c r="C249" s="68" t="s">
        <v>141</v>
      </c>
      <c r="D249" s="79">
        <v>5</v>
      </c>
      <c r="E249" s="79">
        <v>22</v>
      </c>
      <c r="F249" s="79">
        <v>314</v>
      </c>
      <c r="G249" s="79">
        <v>166</v>
      </c>
      <c r="H249" s="79">
        <v>112</v>
      </c>
      <c r="I249" s="79">
        <v>71</v>
      </c>
      <c r="J249" s="79">
        <v>83</v>
      </c>
      <c r="K249" s="79">
        <v>68</v>
      </c>
      <c r="L249" s="79">
        <v>54</v>
      </c>
      <c r="M249" s="79">
        <v>38</v>
      </c>
      <c r="N249" s="72">
        <v>67</v>
      </c>
      <c r="O249" s="72">
        <v>37</v>
      </c>
      <c r="P249" s="202">
        <f>SUM(D249:O249)</f>
        <v>1037</v>
      </c>
      <c r="Q249" s="90"/>
    </row>
    <row r="250" spans="1:17" ht="6.65" hidden="1" customHeight="1" x14ac:dyDescent="0.25">
      <c r="A250" s="142"/>
      <c r="B250" s="142"/>
      <c r="C250" s="142"/>
      <c r="D250" s="143"/>
      <c r="E250" s="143"/>
      <c r="F250" s="143"/>
      <c r="G250" s="143"/>
      <c r="H250" s="143"/>
      <c r="I250" s="143"/>
      <c r="J250" s="144"/>
      <c r="K250" s="144"/>
      <c r="L250" s="144"/>
      <c r="M250" s="144"/>
      <c r="N250" s="144"/>
      <c r="O250" s="144"/>
      <c r="P250" s="145"/>
    </row>
    <row r="251" spans="1:17" ht="10.25" hidden="1" customHeight="1" x14ac:dyDescent="0.25">
      <c r="B251" s="63" t="s">
        <v>110</v>
      </c>
      <c r="C251" s="64"/>
      <c r="D251" s="65">
        <f>SUM(D252,D253)</f>
        <v>1149</v>
      </c>
      <c r="E251" s="65">
        <f t="shared" ref="E251:O251" si="60">SUM(E252,E253)</f>
        <v>2468</v>
      </c>
      <c r="F251" s="65">
        <f t="shared" si="60"/>
        <v>2977</v>
      </c>
      <c r="G251" s="65">
        <f t="shared" si="60"/>
        <v>2766</v>
      </c>
      <c r="H251" s="65">
        <f t="shared" si="60"/>
        <v>2615</v>
      </c>
      <c r="I251" s="65">
        <f t="shared" si="60"/>
        <v>4028</v>
      </c>
      <c r="J251" s="65">
        <f t="shared" si="60"/>
        <v>3415</v>
      </c>
      <c r="K251" s="65">
        <f t="shared" si="60"/>
        <v>2927</v>
      </c>
      <c r="L251" s="65">
        <f t="shared" si="60"/>
        <v>2864</v>
      </c>
      <c r="M251" s="65">
        <f t="shared" si="60"/>
        <v>3707</v>
      </c>
      <c r="N251" s="65">
        <f t="shared" si="60"/>
        <v>2910</v>
      </c>
      <c r="O251" s="65">
        <f t="shared" si="60"/>
        <v>2648</v>
      </c>
      <c r="P251" s="65">
        <f>SUM(P252:P253)</f>
        <v>34474</v>
      </c>
    </row>
    <row r="252" spans="1:17" ht="8.4" hidden="1" customHeight="1" x14ac:dyDescent="0.25">
      <c r="B252" s="67"/>
      <c r="C252" s="68" t="s">
        <v>140</v>
      </c>
      <c r="D252" s="79">
        <v>1146</v>
      </c>
      <c r="E252" s="79">
        <v>2291</v>
      </c>
      <c r="F252" s="79">
        <v>2675</v>
      </c>
      <c r="G252" s="79">
        <v>2446</v>
      </c>
      <c r="H252" s="79">
        <v>2288</v>
      </c>
      <c r="I252" s="79">
        <v>3781</v>
      </c>
      <c r="J252" s="79">
        <v>3209</v>
      </c>
      <c r="K252" s="79">
        <v>2833</v>
      </c>
      <c r="L252" s="79">
        <v>2743</v>
      </c>
      <c r="M252" s="79">
        <v>3467</v>
      </c>
      <c r="N252" s="72">
        <v>2819</v>
      </c>
      <c r="O252" s="72">
        <v>2617</v>
      </c>
      <c r="P252" s="202">
        <f>SUM(D252:O252)</f>
        <v>32315</v>
      </c>
    </row>
    <row r="253" spans="1:17" s="11" customFormat="1" ht="9" hidden="1" customHeight="1" x14ac:dyDescent="0.25">
      <c r="A253" s="15"/>
      <c r="B253" s="71"/>
      <c r="C253" s="68" t="s">
        <v>142</v>
      </c>
      <c r="D253" s="79">
        <v>3</v>
      </c>
      <c r="E253" s="79">
        <v>177</v>
      </c>
      <c r="F253" s="79">
        <v>302</v>
      </c>
      <c r="G253" s="79">
        <v>320</v>
      </c>
      <c r="H253" s="79">
        <v>327</v>
      </c>
      <c r="I253" s="79">
        <v>247</v>
      </c>
      <c r="J253" s="79">
        <v>206</v>
      </c>
      <c r="K253" s="79">
        <v>94</v>
      </c>
      <c r="L253" s="79">
        <v>121</v>
      </c>
      <c r="M253" s="79">
        <v>240</v>
      </c>
      <c r="N253" s="72">
        <v>91</v>
      </c>
      <c r="O253" s="72">
        <v>31</v>
      </c>
      <c r="P253" s="202">
        <f>SUM(D253:O253)</f>
        <v>2159</v>
      </c>
      <c r="Q253" s="90"/>
    </row>
    <row r="254" spans="1:17" ht="6.65" hidden="1" customHeight="1" x14ac:dyDescent="0.25">
      <c r="A254" s="142"/>
      <c r="B254" s="142"/>
      <c r="C254" s="142"/>
      <c r="D254" s="143"/>
      <c r="E254" s="143"/>
      <c r="F254" s="143"/>
      <c r="G254" s="143"/>
      <c r="H254" s="143"/>
      <c r="I254" s="143"/>
      <c r="J254" s="144"/>
      <c r="K254" s="144"/>
      <c r="L254" s="144"/>
      <c r="M254" s="144"/>
      <c r="N254" s="144"/>
      <c r="O254" s="144"/>
      <c r="P254" s="145"/>
    </row>
    <row r="255" spans="1:17" ht="10.25" hidden="1" customHeight="1" x14ac:dyDescent="0.25">
      <c r="B255" s="63" t="s">
        <v>9</v>
      </c>
      <c r="C255" s="64"/>
      <c r="D255" s="65">
        <f>SUM(D256:D257)</f>
        <v>6591</v>
      </c>
      <c r="E255" s="65">
        <f t="shared" ref="E255:P255" si="61">SUM(E256:E257)</f>
        <v>11099</v>
      </c>
      <c r="F255" s="65">
        <f t="shared" si="61"/>
        <v>10282</v>
      </c>
      <c r="G255" s="65">
        <f t="shared" si="61"/>
        <v>9068</v>
      </c>
      <c r="H255" s="65">
        <f t="shared" si="61"/>
        <v>8061</v>
      </c>
      <c r="I255" s="65">
        <f t="shared" si="61"/>
        <v>8250</v>
      </c>
      <c r="J255" s="65">
        <f t="shared" si="61"/>
        <v>8670</v>
      </c>
      <c r="K255" s="65">
        <f t="shared" si="61"/>
        <v>5987</v>
      </c>
      <c r="L255" s="65">
        <f t="shared" si="61"/>
        <v>5781</v>
      </c>
      <c r="M255" s="65">
        <f t="shared" si="61"/>
        <v>8578</v>
      </c>
      <c r="N255" s="65">
        <f t="shared" si="61"/>
        <v>9255</v>
      </c>
      <c r="O255" s="65">
        <f t="shared" si="61"/>
        <v>6053</v>
      </c>
      <c r="P255" s="65">
        <f t="shared" si="61"/>
        <v>97675</v>
      </c>
    </row>
    <row r="256" spans="1:17" ht="9" hidden="1" customHeight="1" x14ac:dyDescent="0.25">
      <c r="B256" s="67"/>
      <c r="C256" s="68" t="s">
        <v>143</v>
      </c>
      <c r="D256" s="79">
        <v>6578</v>
      </c>
      <c r="E256" s="79">
        <v>6227</v>
      </c>
      <c r="F256" s="69">
        <v>7422</v>
      </c>
      <c r="G256" s="80">
        <v>6183</v>
      </c>
      <c r="H256" s="69">
        <v>5576</v>
      </c>
      <c r="I256" s="77">
        <v>5745</v>
      </c>
      <c r="J256" s="77">
        <v>5410</v>
      </c>
      <c r="K256" s="69">
        <v>4616</v>
      </c>
      <c r="L256" s="69">
        <v>4441</v>
      </c>
      <c r="M256" s="69">
        <v>6171</v>
      </c>
      <c r="N256" s="69">
        <v>7849</v>
      </c>
      <c r="O256" s="69">
        <v>5658</v>
      </c>
      <c r="P256" s="203">
        <f>SUM(D256:O256)</f>
        <v>71876</v>
      </c>
      <c r="Q256"/>
    </row>
    <row r="257" spans="1:17" ht="8.4" hidden="1" customHeight="1" x14ac:dyDescent="0.25">
      <c r="B257" s="71"/>
      <c r="C257" s="68" t="s">
        <v>144</v>
      </c>
      <c r="D257" s="79">
        <v>13</v>
      </c>
      <c r="E257" s="79">
        <v>4872</v>
      </c>
      <c r="F257" s="79">
        <v>2860</v>
      </c>
      <c r="G257" s="79">
        <v>2885</v>
      </c>
      <c r="H257" s="79">
        <v>2485</v>
      </c>
      <c r="I257" s="79">
        <v>2505</v>
      </c>
      <c r="J257" s="79">
        <v>3260</v>
      </c>
      <c r="K257" s="79">
        <v>1371</v>
      </c>
      <c r="L257" s="79">
        <v>1340</v>
      </c>
      <c r="M257" s="79">
        <v>2407</v>
      </c>
      <c r="N257" s="72">
        <v>1406</v>
      </c>
      <c r="O257" s="72">
        <v>395</v>
      </c>
      <c r="P257" s="203">
        <f>SUM(D257:O257)</f>
        <v>25799</v>
      </c>
      <c r="Q257"/>
    </row>
    <row r="258" spans="1:17" s="11" customFormat="1" ht="13" hidden="1" x14ac:dyDescent="0.25"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Q258" s="90"/>
    </row>
    <row r="259" spans="1:17" ht="14.5" hidden="1" thickBot="1" x14ac:dyDescent="0.3">
      <c r="B259" s="13" t="s">
        <v>138</v>
      </c>
      <c r="C259" s="13"/>
    </row>
    <row r="260" spans="1:17" ht="12.75" hidden="1" customHeight="1" thickBot="1" x14ac:dyDescent="0.3">
      <c r="B260" s="421" t="s">
        <v>1</v>
      </c>
      <c r="C260" s="422"/>
      <c r="D260" s="16">
        <v>1</v>
      </c>
      <c r="E260" s="17">
        <v>2</v>
      </c>
      <c r="F260" s="17">
        <v>3</v>
      </c>
      <c r="G260" s="17">
        <v>4</v>
      </c>
      <c r="H260" s="17">
        <v>5</v>
      </c>
      <c r="I260" s="17">
        <v>6</v>
      </c>
      <c r="J260" s="17">
        <v>7</v>
      </c>
      <c r="K260" s="17">
        <v>8</v>
      </c>
      <c r="L260" s="17" t="s">
        <v>54</v>
      </c>
      <c r="M260" s="17">
        <v>10</v>
      </c>
      <c r="N260" s="17">
        <v>11</v>
      </c>
      <c r="O260" s="17">
        <v>12</v>
      </c>
      <c r="P260" s="18" t="s">
        <v>0</v>
      </c>
    </row>
    <row r="261" spans="1:17" ht="12.75" hidden="1" customHeight="1" x14ac:dyDescent="0.25">
      <c r="B261" s="416" t="s">
        <v>37</v>
      </c>
      <c r="C261" s="130" t="s">
        <v>18</v>
      </c>
      <c r="D261" s="57">
        <v>21</v>
      </c>
      <c r="E261" s="58">
        <v>26</v>
      </c>
      <c r="F261" s="57">
        <v>30</v>
      </c>
      <c r="G261" s="58">
        <v>22</v>
      </c>
      <c r="H261" s="58">
        <v>34</v>
      </c>
      <c r="I261" s="58">
        <v>29</v>
      </c>
      <c r="J261" s="58">
        <v>17</v>
      </c>
      <c r="K261" s="58">
        <v>4</v>
      </c>
      <c r="L261" s="60">
        <v>0</v>
      </c>
      <c r="M261" s="58">
        <v>0</v>
      </c>
      <c r="N261" s="58">
        <v>0</v>
      </c>
      <c r="O261" s="58">
        <v>0</v>
      </c>
      <c r="P261" s="59">
        <f t="shared" ref="P261:P269" si="62">SUM(D261:O261)</f>
        <v>183</v>
      </c>
      <c r="Q261"/>
    </row>
    <row r="262" spans="1:17" ht="12.75" hidden="1" customHeight="1" x14ac:dyDescent="0.25">
      <c r="B262" s="417"/>
      <c r="C262" s="130" t="s">
        <v>20</v>
      </c>
      <c r="D262" s="57">
        <v>5437</v>
      </c>
      <c r="E262" s="57">
        <v>3697</v>
      </c>
      <c r="F262" s="57">
        <v>3892</v>
      </c>
      <c r="G262" s="57">
        <v>6382</v>
      </c>
      <c r="H262" s="57">
        <v>4918</v>
      </c>
      <c r="I262" s="57">
        <v>3310</v>
      </c>
      <c r="J262" s="57">
        <v>4697</v>
      </c>
      <c r="K262" s="57">
        <v>2406</v>
      </c>
      <c r="L262" s="57">
        <v>4454</v>
      </c>
      <c r="M262" s="57">
        <v>5615</v>
      </c>
      <c r="N262" s="57">
        <v>5700</v>
      </c>
      <c r="O262" s="57">
        <v>8235</v>
      </c>
      <c r="P262" s="59">
        <f t="shared" si="62"/>
        <v>58743</v>
      </c>
      <c r="Q262"/>
    </row>
    <row r="263" spans="1:17" ht="12.75" hidden="1" customHeight="1" x14ac:dyDescent="0.25">
      <c r="B263" s="417"/>
      <c r="C263" s="130" t="s">
        <v>46</v>
      </c>
      <c r="D263" s="57">
        <v>0</v>
      </c>
      <c r="E263" s="57">
        <v>0</v>
      </c>
      <c r="F263" s="57">
        <v>0</v>
      </c>
      <c r="G263" s="57">
        <v>0</v>
      </c>
      <c r="H263" s="57">
        <v>0</v>
      </c>
      <c r="I263" s="57">
        <v>0</v>
      </c>
      <c r="J263" s="57">
        <v>0</v>
      </c>
      <c r="K263" s="57">
        <v>0</v>
      </c>
      <c r="L263" s="57">
        <v>0</v>
      </c>
      <c r="M263" s="57">
        <v>0</v>
      </c>
      <c r="N263" s="57">
        <v>0</v>
      </c>
      <c r="O263" s="57">
        <v>0</v>
      </c>
      <c r="P263" s="59">
        <f t="shared" si="62"/>
        <v>0</v>
      </c>
      <c r="Q263"/>
    </row>
    <row r="264" spans="1:17" ht="12.75" hidden="1" customHeight="1" x14ac:dyDescent="0.25">
      <c r="B264" s="417"/>
      <c r="C264" s="130" t="s">
        <v>3</v>
      </c>
      <c r="D264" s="57">
        <v>0</v>
      </c>
      <c r="E264" s="57">
        <v>0</v>
      </c>
      <c r="F264" s="57">
        <v>0</v>
      </c>
      <c r="G264" s="57">
        <v>0</v>
      </c>
      <c r="H264" s="57">
        <v>0</v>
      </c>
      <c r="I264" s="57">
        <v>0</v>
      </c>
      <c r="J264" s="57">
        <v>0</v>
      </c>
      <c r="K264" s="57">
        <v>0</v>
      </c>
      <c r="L264" s="57">
        <v>0</v>
      </c>
      <c r="M264" s="57">
        <v>0</v>
      </c>
      <c r="N264" s="57">
        <v>0</v>
      </c>
      <c r="O264" s="57">
        <v>0</v>
      </c>
      <c r="P264" s="59">
        <f t="shared" si="62"/>
        <v>0</v>
      </c>
      <c r="Q264"/>
    </row>
    <row r="265" spans="1:17" ht="12.75" hidden="1" customHeight="1" x14ac:dyDescent="0.25">
      <c r="B265" s="417"/>
      <c r="C265" s="132" t="s">
        <v>21</v>
      </c>
      <c r="D265" s="56">
        <v>2036</v>
      </c>
      <c r="E265" s="56">
        <v>4176</v>
      </c>
      <c r="F265" s="56">
        <v>4317</v>
      </c>
      <c r="G265" s="56">
        <v>4165</v>
      </c>
      <c r="H265" s="56">
        <v>3990</v>
      </c>
      <c r="I265" s="56">
        <v>4717</v>
      </c>
      <c r="J265" s="56">
        <v>4412</v>
      </c>
      <c r="K265" s="56">
        <v>4332</v>
      </c>
      <c r="L265" s="56">
        <v>4585</v>
      </c>
      <c r="M265" s="56">
        <v>3323</v>
      </c>
      <c r="N265" s="56">
        <v>3739</v>
      </c>
      <c r="O265" s="56">
        <v>4516</v>
      </c>
      <c r="P265" s="59">
        <f t="shared" si="62"/>
        <v>48308</v>
      </c>
      <c r="Q265"/>
    </row>
    <row r="266" spans="1:17" ht="12.75" hidden="1" customHeight="1" x14ac:dyDescent="0.25">
      <c r="B266" s="417"/>
      <c r="C266" s="130" t="s">
        <v>145</v>
      </c>
      <c r="D266" s="57">
        <v>0</v>
      </c>
      <c r="E266" s="57">
        <v>0</v>
      </c>
      <c r="F266" s="57">
        <v>0</v>
      </c>
      <c r="G266" s="57">
        <v>0</v>
      </c>
      <c r="H266" s="57">
        <v>0</v>
      </c>
      <c r="I266" s="57">
        <v>0</v>
      </c>
      <c r="J266" s="57">
        <v>0</v>
      </c>
      <c r="K266" s="57">
        <v>8</v>
      </c>
      <c r="L266" s="57">
        <v>2652</v>
      </c>
      <c r="M266" s="57">
        <v>3667</v>
      </c>
      <c r="N266" s="57">
        <v>3905</v>
      </c>
      <c r="O266" s="57">
        <v>1057</v>
      </c>
      <c r="P266" s="59">
        <f>SUM(D266:O266)</f>
        <v>11289</v>
      </c>
      <c r="Q266"/>
    </row>
    <row r="267" spans="1:17" ht="12.75" hidden="1" customHeight="1" x14ac:dyDescent="0.25">
      <c r="B267" s="417"/>
      <c r="C267" s="132" t="s">
        <v>23</v>
      </c>
      <c r="D267" s="55">
        <v>1806</v>
      </c>
      <c r="E267" s="55">
        <v>4490</v>
      </c>
      <c r="F267" s="55">
        <v>6663</v>
      </c>
      <c r="G267" s="55">
        <v>5192</v>
      </c>
      <c r="H267" s="55">
        <v>7602</v>
      </c>
      <c r="I267" s="55">
        <v>7919</v>
      </c>
      <c r="J267" s="55">
        <v>6777</v>
      </c>
      <c r="K267" s="55">
        <v>4606</v>
      </c>
      <c r="L267" s="55">
        <v>4643</v>
      </c>
      <c r="M267" s="55">
        <v>4661</v>
      </c>
      <c r="N267" s="55">
        <v>3754</v>
      </c>
      <c r="O267" s="55">
        <v>8917</v>
      </c>
      <c r="P267" s="59">
        <f t="shared" si="62"/>
        <v>67030</v>
      </c>
      <c r="Q267"/>
    </row>
    <row r="268" spans="1:17" ht="12.75" hidden="1" customHeight="1" thickBot="1" x14ac:dyDescent="0.3">
      <c r="B268" s="418"/>
      <c r="C268" s="133" t="s">
        <v>0</v>
      </c>
      <c r="D268" s="32">
        <f t="shared" ref="D268:O268" si="63">SUM(D261:D267)</f>
        <v>9300</v>
      </c>
      <c r="E268" s="32">
        <f t="shared" si="63"/>
        <v>12389</v>
      </c>
      <c r="F268" s="32">
        <f t="shared" si="63"/>
        <v>14902</v>
      </c>
      <c r="G268" s="32">
        <f t="shared" si="63"/>
        <v>15761</v>
      </c>
      <c r="H268" s="32">
        <f t="shared" si="63"/>
        <v>16544</v>
      </c>
      <c r="I268" s="32">
        <f t="shared" si="63"/>
        <v>15975</v>
      </c>
      <c r="J268" s="32">
        <f t="shared" si="63"/>
        <v>15903</v>
      </c>
      <c r="K268" s="32">
        <f t="shared" si="63"/>
        <v>11356</v>
      </c>
      <c r="L268" s="32">
        <f t="shared" si="63"/>
        <v>16334</v>
      </c>
      <c r="M268" s="32">
        <f t="shared" si="63"/>
        <v>17266</v>
      </c>
      <c r="N268" s="32">
        <f>SUM(N261:N267)</f>
        <v>17098</v>
      </c>
      <c r="O268" s="32">
        <f t="shared" si="63"/>
        <v>22725</v>
      </c>
      <c r="P268" s="33">
        <f t="shared" si="62"/>
        <v>185553</v>
      </c>
      <c r="Q268"/>
    </row>
    <row r="269" spans="1:17" ht="12.75" hidden="1" customHeight="1" x14ac:dyDescent="0.25">
      <c r="B269" s="426" t="s">
        <v>36</v>
      </c>
      <c r="C269" s="129" t="s">
        <v>131</v>
      </c>
      <c r="D269" s="28">
        <v>3948</v>
      </c>
      <c r="E269" s="29">
        <v>3304</v>
      </c>
      <c r="F269" s="29">
        <v>3725</v>
      </c>
      <c r="G269" s="29">
        <v>3420</v>
      </c>
      <c r="H269" s="29">
        <v>4402</v>
      </c>
      <c r="I269" s="29">
        <v>4401</v>
      </c>
      <c r="J269" s="29">
        <v>4478</v>
      </c>
      <c r="K269" s="29">
        <v>3302</v>
      </c>
      <c r="L269" s="29">
        <v>4032</v>
      </c>
      <c r="M269" s="29">
        <v>3908</v>
      </c>
      <c r="N269" s="29">
        <v>5573</v>
      </c>
      <c r="O269" s="29">
        <v>3509</v>
      </c>
      <c r="P269" s="24">
        <f t="shared" si="62"/>
        <v>48002</v>
      </c>
      <c r="Q269"/>
    </row>
    <row r="270" spans="1:17" ht="12.75" hidden="1" customHeight="1" x14ac:dyDescent="0.25">
      <c r="B270" s="427"/>
      <c r="C270" s="131" t="s">
        <v>86</v>
      </c>
      <c r="D270" s="22">
        <v>925</v>
      </c>
      <c r="E270" s="23">
        <v>615</v>
      </c>
      <c r="F270" s="23">
        <v>673</v>
      </c>
      <c r="G270" s="23">
        <v>790</v>
      </c>
      <c r="H270" s="23">
        <v>776</v>
      </c>
      <c r="I270" s="23">
        <v>896</v>
      </c>
      <c r="J270" s="23">
        <v>548</v>
      </c>
      <c r="K270" s="23">
        <v>376</v>
      </c>
      <c r="L270" s="23">
        <v>673</v>
      </c>
      <c r="M270" s="23">
        <v>702</v>
      </c>
      <c r="N270" s="23">
        <v>432</v>
      </c>
      <c r="O270" s="23">
        <v>1019</v>
      </c>
      <c r="P270" s="24">
        <f t="shared" ref="P270:P276" si="64">SUM(D270:O270)</f>
        <v>8425</v>
      </c>
      <c r="Q270"/>
    </row>
    <row r="271" spans="1:17" ht="12.75" hidden="1" customHeight="1" x14ac:dyDescent="0.25">
      <c r="B271" s="427"/>
      <c r="C271" s="134" t="s">
        <v>63</v>
      </c>
      <c r="D271" s="19">
        <v>479</v>
      </c>
      <c r="E271" s="20">
        <v>923</v>
      </c>
      <c r="F271" s="20">
        <v>759</v>
      </c>
      <c r="G271" s="20">
        <v>773</v>
      </c>
      <c r="H271" s="20">
        <v>759</v>
      </c>
      <c r="I271" s="20">
        <v>758</v>
      </c>
      <c r="J271" s="20">
        <v>648</v>
      </c>
      <c r="K271" s="20">
        <v>743</v>
      </c>
      <c r="L271" s="20">
        <v>632</v>
      </c>
      <c r="M271" s="20">
        <v>493</v>
      </c>
      <c r="N271" s="20">
        <v>693</v>
      </c>
      <c r="O271" s="20">
        <v>728</v>
      </c>
      <c r="P271" s="24">
        <f t="shared" si="64"/>
        <v>8388</v>
      </c>
      <c r="Q271"/>
    </row>
    <row r="272" spans="1:17" ht="12.75" hidden="1" customHeight="1" x14ac:dyDescent="0.25">
      <c r="A272"/>
      <c r="B272" s="427"/>
      <c r="C272" s="134" t="s">
        <v>43</v>
      </c>
      <c r="D272" s="19">
        <v>3619</v>
      </c>
      <c r="E272" s="20">
        <v>2684</v>
      </c>
      <c r="F272" s="20">
        <v>2740</v>
      </c>
      <c r="G272" s="20">
        <v>4175</v>
      </c>
      <c r="H272" s="20">
        <v>3722</v>
      </c>
      <c r="I272" s="20">
        <v>2864</v>
      </c>
      <c r="J272" s="20">
        <v>1548</v>
      </c>
      <c r="K272" s="20">
        <v>1962</v>
      </c>
      <c r="L272" s="20">
        <v>2452</v>
      </c>
      <c r="M272" s="20">
        <v>1729</v>
      </c>
      <c r="N272" s="20">
        <v>2312</v>
      </c>
      <c r="O272" s="20">
        <v>3083</v>
      </c>
      <c r="P272" s="24">
        <f t="shared" si="64"/>
        <v>32890</v>
      </c>
      <c r="Q272"/>
    </row>
    <row r="273" spans="1:17" ht="12.75" hidden="1" customHeight="1" x14ac:dyDescent="0.25">
      <c r="A273"/>
      <c r="B273" s="427"/>
      <c r="C273" s="134" t="s">
        <v>118</v>
      </c>
      <c r="D273" s="19">
        <v>376</v>
      </c>
      <c r="E273" s="20">
        <v>3995</v>
      </c>
      <c r="F273" s="20">
        <v>3208</v>
      </c>
      <c r="G273" s="20">
        <v>2963</v>
      </c>
      <c r="H273" s="20">
        <v>3054</v>
      </c>
      <c r="I273" s="20">
        <v>1507</v>
      </c>
      <c r="J273" s="20">
        <v>3102</v>
      </c>
      <c r="K273" s="20">
        <v>1998</v>
      </c>
      <c r="L273" s="20">
        <v>2396</v>
      </c>
      <c r="M273" s="20">
        <v>2169</v>
      </c>
      <c r="N273" s="20">
        <v>1920</v>
      </c>
      <c r="O273" s="20">
        <v>711</v>
      </c>
      <c r="P273" s="24">
        <f t="shared" si="64"/>
        <v>27399</v>
      </c>
      <c r="Q273"/>
    </row>
    <row r="274" spans="1:17" ht="12.75" hidden="1" customHeight="1" x14ac:dyDescent="0.25">
      <c r="A274"/>
      <c r="B274" s="427"/>
      <c r="C274" s="134" t="s">
        <v>73</v>
      </c>
      <c r="D274" s="19">
        <v>319</v>
      </c>
      <c r="E274" s="20">
        <v>650</v>
      </c>
      <c r="F274" s="20">
        <v>445</v>
      </c>
      <c r="G274" s="20">
        <v>1294</v>
      </c>
      <c r="H274" s="20">
        <v>1270</v>
      </c>
      <c r="I274" s="20">
        <v>907</v>
      </c>
      <c r="J274" s="20">
        <v>573</v>
      </c>
      <c r="K274" s="20">
        <v>980</v>
      </c>
      <c r="L274" s="20">
        <v>1083</v>
      </c>
      <c r="M274" s="20">
        <v>1101</v>
      </c>
      <c r="N274" s="20">
        <v>1096</v>
      </c>
      <c r="O274" s="20">
        <v>446</v>
      </c>
      <c r="P274" s="24">
        <f t="shared" si="64"/>
        <v>10164</v>
      </c>
      <c r="Q274"/>
    </row>
    <row r="275" spans="1:17" ht="12.75" hidden="1" customHeight="1" x14ac:dyDescent="0.25">
      <c r="A275"/>
      <c r="B275" s="427"/>
      <c r="C275" s="131" t="s">
        <v>5</v>
      </c>
      <c r="D275" s="22">
        <v>2159</v>
      </c>
      <c r="E275" s="23">
        <v>1680</v>
      </c>
      <c r="F275" s="23">
        <v>1860</v>
      </c>
      <c r="G275" s="23">
        <v>1997</v>
      </c>
      <c r="H275" s="23">
        <v>2477</v>
      </c>
      <c r="I275" s="23">
        <v>2913</v>
      </c>
      <c r="J275" s="23">
        <v>1361</v>
      </c>
      <c r="K275" s="23">
        <v>2534</v>
      </c>
      <c r="L275" s="23">
        <v>2327</v>
      </c>
      <c r="M275" s="23">
        <v>2722</v>
      </c>
      <c r="N275" s="23">
        <v>2864</v>
      </c>
      <c r="O275" s="23">
        <v>3811</v>
      </c>
      <c r="P275" s="24">
        <f t="shared" si="64"/>
        <v>28705</v>
      </c>
      <c r="Q275"/>
    </row>
    <row r="276" spans="1:17" ht="12.75" hidden="1" customHeight="1" x14ac:dyDescent="0.25">
      <c r="A276"/>
      <c r="B276" s="427"/>
      <c r="C276" s="131" t="s">
        <v>82</v>
      </c>
      <c r="D276" s="22">
        <v>4302</v>
      </c>
      <c r="E276" s="23">
        <v>3900</v>
      </c>
      <c r="F276" s="23">
        <v>4501</v>
      </c>
      <c r="G276" s="23">
        <v>4461</v>
      </c>
      <c r="H276" s="23">
        <v>4110</v>
      </c>
      <c r="I276" s="23">
        <v>5760</v>
      </c>
      <c r="J276" s="23">
        <v>3113</v>
      </c>
      <c r="K276" s="23">
        <v>3269</v>
      </c>
      <c r="L276" s="23">
        <v>3464</v>
      </c>
      <c r="M276" s="23">
        <v>4147</v>
      </c>
      <c r="N276" s="23">
        <v>4366</v>
      </c>
      <c r="O276" s="23">
        <v>4344</v>
      </c>
      <c r="P276" s="24">
        <f t="shared" si="64"/>
        <v>49737</v>
      </c>
      <c r="Q276"/>
    </row>
    <row r="277" spans="1:17" ht="12.75" hidden="1" customHeight="1" thickBot="1" x14ac:dyDescent="0.3">
      <c r="A277"/>
      <c r="B277" s="428"/>
      <c r="C277" s="135" t="s">
        <v>0</v>
      </c>
      <c r="D277" s="26">
        <f>SUM(D269:D276)</f>
        <v>16127</v>
      </c>
      <c r="E277" s="26">
        <f t="shared" ref="E277:O277" si="65">SUM(E269:E276)</f>
        <v>17751</v>
      </c>
      <c r="F277" s="26">
        <f t="shared" si="65"/>
        <v>17911</v>
      </c>
      <c r="G277" s="26">
        <f t="shared" si="65"/>
        <v>19873</v>
      </c>
      <c r="H277" s="26">
        <f t="shared" si="65"/>
        <v>20570</v>
      </c>
      <c r="I277" s="26">
        <f t="shared" si="65"/>
        <v>20006</v>
      </c>
      <c r="J277" s="26">
        <f t="shared" si="65"/>
        <v>15371</v>
      </c>
      <c r="K277" s="26">
        <f>SUM(K269:K276)</f>
        <v>15164</v>
      </c>
      <c r="L277" s="26">
        <f t="shared" si="65"/>
        <v>17059</v>
      </c>
      <c r="M277" s="26">
        <f t="shared" si="65"/>
        <v>16971</v>
      </c>
      <c r="N277" s="26">
        <f>SUM(N269:N276)</f>
        <v>19256</v>
      </c>
      <c r="O277" s="26">
        <f t="shared" si="65"/>
        <v>17651</v>
      </c>
      <c r="P277" s="27">
        <f t="shared" ref="P277:P291" si="66">SUM(D277:O277)</f>
        <v>213710</v>
      </c>
      <c r="Q277"/>
    </row>
    <row r="278" spans="1:17" ht="12.65" hidden="1" customHeight="1" x14ac:dyDescent="0.25">
      <c r="A278"/>
      <c r="B278" s="416" t="s">
        <v>6</v>
      </c>
      <c r="C278" s="129" t="s">
        <v>8</v>
      </c>
      <c r="D278" s="28">
        <v>0</v>
      </c>
      <c r="E278" s="29">
        <v>0</v>
      </c>
      <c r="F278" s="29">
        <v>0</v>
      </c>
      <c r="G278" s="29">
        <v>0</v>
      </c>
      <c r="H278" s="29">
        <v>0</v>
      </c>
      <c r="I278" s="29">
        <v>0</v>
      </c>
      <c r="J278" s="29">
        <v>0</v>
      </c>
      <c r="K278" s="29">
        <v>0</v>
      </c>
      <c r="L278" s="29">
        <v>0</v>
      </c>
      <c r="M278" s="29">
        <v>0</v>
      </c>
      <c r="N278" s="29">
        <v>0</v>
      </c>
      <c r="O278" s="29">
        <v>0</v>
      </c>
      <c r="P278" s="30">
        <f t="shared" si="66"/>
        <v>0</v>
      </c>
      <c r="Q278"/>
    </row>
    <row r="279" spans="1:17" ht="12.65" hidden="1" customHeight="1" x14ac:dyDescent="0.25">
      <c r="A279"/>
      <c r="B279" s="417"/>
      <c r="C279" s="134" t="s">
        <v>119</v>
      </c>
      <c r="D279" s="19">
        <v>2810</v>
      </c>
      <c r="E279" s="20">
        <v>2057</v>
      </c>
      <c r="F279" s="20">
        <v>2096</v>
      </c>
      <c r="G279" s="20">
        <v>2387</v>
      </c>
      <c r="H279" s="20">
        <v>2914</v>
      </c>
      <c r="I279" s="20">
        <v>2451</v>
      </c>
      <c r="J279" s="20">
        <v>2998</v>
      </c>
      <c r="K279" s="20">
        <v>2957</v>
      </c>
      <c r="L279" s="20">
        <v>2814</v>
      </c>
      <c r="M279" s="20">
        <v>3461</v>
      </c>
      <c r="N279" s="20">
        <v>3325</v>
      </c>
      <c r="O279" s="20">
        <v>3189</v>
      </c>
      <c r="P279" s="21">
        <f t="shared" si="66"/>
        <v>33459</v>
      </c>
      <c r="Q279"/>
    </row>
    <row r="280" spans="1:17" ht="12.75" hidden="1" customHeight="1" x14ac:dyDescent="0.25">
      <c r="A280"/>
      <c r="B280" s="417"/>
      <c r="C280" s="134" t="s">
        <v>9</v>
      </c>
      <c r="D280" s="19">
        <v>5443</v>
      </c>
      <c r="E280" s="20">
        <v>7995</v>
      </c>
      <c r="F280" s="20">
        <v>4708</v>
      </c>
      <c r="G280" s="20">
        <v>8423</v>
      </c>
      <c r="H280" s="20">
        <v>8299</v>
      </c>
      <c r="I280" s="20">
        <v>6980</v>
      </c>
      <c r="J280" s="20">
        <v>8986</v>
      </c>
      <c r="K280" s="20">
        <v>7792</v>
      </c>
      <c r="L280" s="20">
        <v>8503</v>
      </c>
      <c r="M280" s="20">
        <v>9020</v>
      </c>
      <c r="N280" s="20">
        <v>7020</v>
      </c>
      <c r="O280" s="20">
        <v>9242</v>
      </c>
      <c r="P280" s="21">
        <f t="shared" si="66"/>
        <v>92411</v>
      </c>
      <c r="Q280"/>
    </row>
    <row r="281" spans="1:17" ht="12.75" hidden="1" customHeight="1" thickBot="1" x14ac:dyDescent="0.3">
      <c r="A281"/>
      <c r="B281" s="418"/>
      <c r="C281" s="133" t="s">
        <v>0</v>
      </c>
      <c r="D281" s="32">
        <f>SUM(D278:D280)</f>
        <v>8253</v>
      </c>
      <c r="E281" s="32">
        <f t="shared" ref="E281:O281" si="67">SUM(E278:E280)</f>
        <v>10052</v>
      </c>
      <c r="F281" s="32">
        <f t="shared" si="67"/>
        <v>6804</v>
      </c>
      <c r="G281" s="32">
        <f t="shared" si="67"/>
        <v>10810</v>
      </c>
      <c r="H281" s="32">
        <f t="shared" si="67"/>
        <v>11213</v>
      </c>
      <c r="I281" s="32">
        <f t="shared" si="67"/>
        <v>9431</v>
      </c>
      <c r="J281" s="32">
        <f t="shared" si="67"/>
        <v>11984</v>
      </c>
      <c r="K281" s="32">
        <f t="shared" si="67"/>
        <v>10749</v>
      </c>
      <c r="L281" s="32">
        <f t="shared" si="67"/>
        <v>11317</v>
      </c>
      <c r="M281" s="32">
        <f t="shared" si="67"/>
        <v>12481</v>
      </c>
      <c r="N281" s="32">
        <f>SUM(N278:N280)</f>
        <v>10345</v>
      </c>
      <c r="O281" s="32">
        <f t="shared" si="67"/>
        <v>12431</v>
      </c>
      <c r="P281" s="33">
        <f t="shared" si="66"/>
        <v>125870</v>
      </c>
      <c r="Q281"/>
    </row>
    <row r="282" spans="1:17" ht="12.75" hidden="1" customHeight="1" x14ac:dyDescent="0.25">
      <c r="A282"/>
      <c r="B282" s="416" t="s">
        <v>7</v>
      </c>
      <c r="C282" s="129" t="s">
        <v>10</v>
      </c>
      <c r="D282" s="28">
        <v>388</v>
      </c>
      <c r="E282" s="29">
        <v>458</v>
      </c>
      <c r="F282" s="29">
        <v>529</v>
      </c>
      <c r="G282" s="29">
        <v>473</v>
      </c>
      <c r="H282" s="29">
        <v>529</v>
      </c>
      <c r="I282" s="29">
        <v>560</v>
      </c>
      <c r="J282" s="29">
        <v>503</v>
      </c>
      <c r="K282" s="29">
        <v>400</v>
      </c>
      <c r="L282" s="29">
        <v>491</v>
      </c>
      <c r="M282" s="29">
        <v>521</v>
      </c>
      <c r="N282" s="29">
        <v>630</v>
      </c>
      <c r="O282" s="29">
        <v>682</v>
      </c>
      <c r="P282" s="30">
        <f t="shared" si="66"/>
        <v>6164</v>
      </c>
      <c r="Q282"/>
    </row>
    <row r="283" spans="1:17" ht="12.75" hidden="1" customHeight="1" x14ac:dyDescent="0.25">
      <c r="A283"/>
      <c r="B283" s="417"/>
      <c r="C283" s="134" t="s">
        <v>11</v>
      </c>
      <c r="D283" s="19">
        <v>1557</v>
      </c>
      <c r="E283" s="20">
        <v>1344</v>
      </c>
      <c r="F283" s="20">
        <v>1906</v>
      </c>
      <c r="G283" s="20">
        <v>1208</v>
      </c>
      <c r="H283" s="20">
        <v>2283</v>
      </c>
      <c r="I283" s="20">
        <v>2330</v>
      </c>
      <c r="J283" s="20">
        <v>2032</v>
      </c>
      <c r="K283" s="20">
        <v>1938</v>
      </c>
      <c r="L283" s="20">
        <v>2063</v>
      </c>
      <c r="M283" s="20">
        <v>2206</v>
      </c>
      <c r="N283" s="20">
        <v>1982</v>
      </c>
      <c r="O283" s="20">
        <v>1693</v>
      </c>
      <c r="P283" s="21">
        <f t="shared" si="66"/>
        <v>22542</v>
      </c>
      <c r="Q283"/>
    </row>
    <row r="284" spans="1:17" ht="12.75" hidden="1" customHeight="1" thickBot="1" x14ac:dyDescent="0.3">
      <c r="A284"/>
      <c r="B284" s="418"/>
      <c r="C284" s="133" t="s">
        <v>0</v>
      </c>
      <c r="D284" s="32">
        <f>SUM(D282:D283)</f>
        <v>1945</v>
      </c>
      <c r="E284" s="32">
        <f t="shared" ref="E284:O284" si="68">SUM(E282:E283)</f>
        <v>1802</v>
      </c>
      <c r="F284" s="32">
        <f t="shared" si="68"/>
        <v>2435</v>
      </c>
      <c r="G284" s="32">
        <f t="shared" si="68"/>
        <v>1681</v>
      </c>
      <c r="H284" s="32">
        <f t="shared" si="68"/>
        <v>2812</v>
      </c>
      <c r="I284" s="32">
        <f t="shared" si="68"/>
        <v>2890</v>
      </c>
      <c r="J284" s="32">
        <f t="shared" si="68"/>
        <v>2535</v>
      </c>
      <c r="K284" s="32">
        <f t="shared" si="68"/>
        <v>2338</v>
      </c>
      <c r="L284" s="32">
        <f t="shared" si="68"/>
        <v>2554</v>
      </c>
      <c r="M284" s="32">
        <f t="shared" si="68"/>
        <v>2727</v>
      </c>
      <c r="N284" s="32">
        <f>SUM(N282:N283)</f>
        <v>2612</v>
      </c>
      <c r="O284" s="32">
        <f t="shared" si="68"/>
        <v>2375</v>
      </c>
      <c r="P284" s="33">
        <f t="shared" si="66"/>
        <v>28706</v>
      </c>
      <c r="Q284"/>
    </row>
    <row r="285" spans="1:17" ht="12.75" hidden="1" customHeight="1" x14ac:dyDescent="0.25">
      <c r="A285"/>
      <c r="B285" s="429" t="s">
        <v>4</v>
      </c>
      <c r="C285" s="129" t="s">
        <v>65</v>
      </c>
      <c r="D285" s="110">
        <v>533</v>
      </c>
      <c r="E285" s="110">
        <v>565</v>
      </c>
      <c r="F285" s="110">
        <v>416</v>
      </c>
      <c r="G285" s="110">
        <v>489</v>
      </c>
      <c r="H285" s="110">
        <v>357</v>
      </c>
      <c r="I285" s="110">
        <v>488</v>
      </c>
      <c r="J285" s="110">
        <v>574</v>
      </c>
      <c r="K285" s="110">
        <v>358</v>
      </c>
      <c r="L285" s="110">
        <v>359</v>
      </c>
      <c r="M285" s="110">
        <v>540</v>
      </c>
      <c r="N285" s="110">
        <v>576</v>
      </c>
      <c r="O285" s="110">
        <v>832</v>
      </c>
      <c r="P285" s="111">
        <f t="shared" si="66"/>
        <v>6087</v>
      </c>
      <c r="Q285"/>
    </row>
    <row r="286" spans="1:17" ht="12.75" hidden="1" customHeight="1" x14ac:dyDescent="0.25">
      <c r="A286"/>
      <c r="B286" s="430"/>
      <c r="C286" s="136" t="s">
        <v>67</v>
      </c>
      <c r="D286" s="99">
        <v>5501</v>
      </c>
      <c r="E286" s="99">
        <v>4655</v>
      </c>
      <c r="F286" s="99">
        <v>3967</v>
      </c>
      <c r="G286" s="99">
        <v>4023</v>
      </c>
      <c r="H286" s="99">
        <v>4330</v>
      </c>
      <c r="I286" s="99">
        <v>3630</v>
      </c>
      <c r="J286" s="99">
        <v>2966</v>
      </c>
      <c r="K286" s="99">
        <v>3080</v>
      </c>
      <c r="L286" s="99">
        <v>2863</v>
      </c>
      <c r="M286" s="99">
        <v>3082</v>
      </c>
      <c r="N286" s="99">
        <v>4224</v>
      </c>
      <c r="O286" s="99">
        <v>4833</v>
      </c>
      <c r="P286" s="100">
        <f t="shared" si="66"/>
        <v>47154</v>
      </c>
      <c r="Q286"/>
    </row>
    <row r="287" spans="1:17" ht="12.75" hidden="1" customHeight="1" x14ac:dyDescent="0.25">
      <c r="A287"/>
      <c r="B287" s="430"/>
      <c r="C287" s="131" t="s">
        <v>80</v>
      </c>
      <c r="D287" s="22">
        <v>78</v>
      </c>
      <c r="E287" s="23">
        <v>1073</v>
      </c>
      <c r="F287" s="23">
        <v>1897</v>
      </c>
      <c r="G287" s="23">
        <v>2129</v>
      </c>
      <c r="H287" s="23">
        <v>2329</v>
      </c>
      <c r="I287" s="23">
        <v>2456</v>
      </c>
      <c r="J287" s="23">
        <v>2274</v>
      </c>
      <c r="K287" s="23">
        <v>2422</v>
      </c>
      <c r="L287" s="23">
        <v>2217</v>
      </c>
      <c r="M287" s="23">
        <v>2818</v>
      </c>
      <c r="N287" s="23">
        <v>1364</v>
      </c>
      <c r="O287" s="23">
        <v>2172</v>
      </c>
      <c r="P287" s="24">
        <f t="shared" si="66"/>
        <v>23229</v>
      </c>
      <c r="Q287"/>
    </row>
    <row r="288" spans="1:17" ht="12.75" hidden="1" customHeight="1" x14ac:dyDescent="0.25">
      <c r="A288"/>
      <c r="B288" s="430"/>
      <c r="C288" s="131" t="s">
        <v>134</v>
      </c>
      <c r="D288" s="22">
        <v>177</v>
      </c>
      <c r="E288" s="23">
        <v>349</v>
      </c>
      <c r="F288" s="23">
        <v>685</v>
      </c>
      <c r="G288" s="23">
        <v>796</v>
      </c>
      <c r="H288" s="23">
        <v>724</v>
      </c>
      <c r="I288" s="23">
        <v>670</v>
      </c>
      <c r="J288" s="23">
        <v>536</v>
      </c>
      <c r="K288" s="23">
        <v>260</v>
      </c>
      <c r="L288" s="23">
        <v>332</v>
      </c>
      <c r="M288" s="23">
        <v>493</v>
      </c>
      <c r="N288" s="23">
        <v>405</v>
      </c>
      <c r="O288" s="23">
        <v>212</v>
      </c>
      <c r="P288" s="24">
        <f t="shared" si="66"/>
        <v>5639</v>
      </c>
      <c r="Q288"/>
    </row>
    <row r="289" spans="1:18" ht="12.75" hidden="1" customHeight="1" x14ac:dyDescent="0.25">
      <c r="A289"/>
      <c r="B289" s="430"/>
      <c r="C289" s="131" t="s">
        <v>110</v>
      </c>
      <c r="D289" s="22">
        <v>2415</v>
      </c>
      <c r="E289" s="23">
        <v>2592</v>
      </c>
      <c r="F289" s="23">
        <v>1907</v>
      </c>
      <c r="G289" s="23">
        <v>2100</v>
      </c>
      <c r="H289" s="23">
        <v>2859</v>
      </c>
      <c r="I289" s="23">
        <v>2219</v>
      </c>
      <c r="J289" s="23">
        <v>2231</v>
      </c>
      <c r="K289" s="23">
        <v>2004</v>
      </c>
      <c r="L289" s="23">
        <v>2348</v>
      </c>
      <c r="M289" s="23">
        <v>2413</v>
      </c>
      <c r="N289" s="23">
        <v>2832</v>
      </c>
      <c r="O289" s="23">
        <v>3577</v>
      </c>
      <c r="P289" s="24">
        <f t="shared" si="66"/>
        <v>29497</v>
      </c>
      <c r="Q289"/>
    </row>
    <row r="290" spans="1:18" ht="12.75" hidden="1" customHeight="1" x14ac:dyDescent="0.25">
      <c r="A290"/>
      <c r="B290" s="430"/>
      <c r="C290" s="131" t="s">
        <v>97</v>
      </c>
      <c r="D290" s="22">
        <v>1876</v>
      </c>
      <c r="E290" s="23">
        <v>1782</v>
      </c>
      <c r="F290" s="23">
        <v>1959</v>
      </c>
      <c r="G290" s="23">
        <v>1753</v>
      </c>
      <c r="H290" s="23">
        <v>1635</v>
      </c>
      <c r="I290" s="23">
        <v>1745</v>
      </c>
      <c r="J290" s="23">
        <v>1931</v>
      </c>
      <c r="K290" s="23">
        <v>1493</v>
      </c>
      <c r="L290" s="23">
        <v>1527</v>
      </c>
      <c r="M290" s="23">
        <v>1945</v>
      </c>
      <c r="N290" s="23">
        <v>2214</v>
      </c>
      <c r="O290" s="23">
        <v>3579</v>
      </c>
      <c r="P290" s="24">
        <f t="shared" si="66"/>
        <v>23439</v>
      </c>
      <c r="Q290"/>
    </row>
    <row r="291" spans="1:18" ht="12.75" hidden="1" customHeight="1" thickBot="1" x14ac:dyDescent="0.3">
      <c r="A291"/>
      <c r="B291" s="431"/>
      <c r="C291" s="31" t="s">
        <v>0</v>
      </c>
      <c r="D291" s="32">
        <f>SUM(D285:D290)</f>
        <v>10580</v>
      </c>
      <c r="E291" s="32">
        <f t="shared" ref="E291:O291" si="69">SUM(E285:E290)</f>
        <v>11016</v>
      </c>
      <c r="F291" s="32">
        <f t="shared" si="69"/>
        <v>10831</v>
      </c>
      <c r="G291" s="32">
        <f t="shared" si="69"/>
        <v>11290</v>
      </c>
      <c r="H291" s="32">
        <f t="shared" si="69"/>
        <v>12234</v>
      </c>
      <c r="I291" s="32">
        <f t="shared" si="69"/>
        <v>11208</v>
      </c>
      <c r="J291" s="32">
        <f t="shared" si="69"/>
        <v>10512</v>
      </c>
      <c r="K291" s="32">
        <f t="shared" si="69"/>
        <v>9617</v>
      </c>
      <c r="L291" s="32">
        <f t="shared" si="69"/>
        <v>9646</v>
      </c>
      <c r="M291" s="32">
        <f t="shared" si="69"/>
        <v>11291</v>
      </c>
      <c r="N291" s="32">
        <f>SUM(N285:N290)</f>
        <v>11615</v>
      </c>
      <c r="O291" s="32">
        <f t="shared" si="69"/>
        <v>15205</v>
      </c>
      <c r="P291" s="209">
        <f t="shared" si="66"/>
        <v>135045</v>
      </c>
      <c r="Q291"/>
    </row>
    <row r="292" spans="1:18" ht="12.75" hidden="1" customHeight="1" thickBot="1" x14ac:dyDescent="0.3">
      <c r="A292"/>
      <c r="B292" s="419" t="s">
        <v>2</v>
      </c>
      <c r="C292" s="420"/>
      <c r="D292" s="34">
        <f>SUM(D268,D277,D281,D284,D291)</f>
        <v>46205</v>
      </c>
      <c r="E292" s="34">
        <f t="shared" ref="E292:P292" si="70">SUM(E268,E277,E281,E284,E291)</f>
        <v>53010</v>
      </c>
      <c r="F292" s="34">
        <f t="shared" si="70"/>
        <v>52883</v>
      </c>
      <c r="G292" s="34">
        <f t="shared" si="70"/>
        <v>59415</v>
      </c>
      <c r="H292" s="34">
        <f t="shared" si="70"/>
        <v>63373</v>
      </c>
      <c r="I292" s="34">
        <f t="shared" si="70"/>
        <v>59510</v>
      </c>
      <c r="J292" s="34">
        <f>SUM(J268,J277,J281,J284,J291)</f>
        <v>56305</v>
      </c>
      <c r="K292" s="34">
        <f>SUM(K268,K277,K281,K284,K291)</f>
        <v>49224</v>
      </c>
      <c r="L292" s="34">
        <f t="shared" si="70"/>
        <v>56910</v>
      </c>
      <c r="M292" s="34">
        <f t="shared" si="70"/>
        <v>60736</v>
      </c>
      <c r="N292" s="34">
        <f t="shared" si="70"/>
        <v>60926</v>
      </c>
      <c r="O292" s="34">
        <f t="shared" si="70"/>
        <v>70387</v>
      </c>
      <c r="P292" s="210">
        <f t="shared" si="70"/>
        <v>688884</v>
      </c>
      <c r="Q292"/>
    </row>
    <row r="293" spans="1:18" ht="4.5" hidden="1" customHeight="1" x14ac:dyDescent="0.25">
      <c r="A293"/>
      <c r="J293" s="92"/>
      <c r="Q293"/>
    </row>
    <row r="294" spans="1:18" ht="9.65" hidden="1" customHeight="1" x14ac:dyDescent="0.25">
      <c r="A294"/>
      <c r="B294" s="63" t="s">
        <v>20</v>
      </c>
      <c r="C294" s="64"/>
      <c r="D294" s="65">
        <f>SUM(D295:D297)</f>
        <v>5437</v>
      </c>
      <c r="E294" s="65">
        <f t="shared" ref="E294:P294" si="71">SUM(E295:E297)</f>
        <v>3697</v>
      </c>
      <c r="F294" s="65">
        <f t="shared" si="71"/>
        <v>3892</v>
      </c>
      <c r="G294" s="65">
        <f t="shared" si="71"/>
        <v>6382</v>
      </c>
      <c r="H294" s="65">
        <f t="shared" si="71"/>
        <v>4918</v>
      </c>
      <c r="I294" s="65">
        <f t="shared" si="71"/>
        <v>3310</v>
      </c>
      <c r="J294" s="65">
        <f t="shared" si="71"/>
        <v>4697</v>
      </c>
      <c r="K294" s="65">
        <f t="shared" si="71"/>
        <v>2406</v>
      </c>
      <c r="L294" s="65">
        <f t="shared" si="71"/>
        <v>4454</v>
      </c>
      <c r="M294" s="65">
        <f t="shared" si="71"/>
        <v>5615</v>
      </c>
      <c r="N294" s="65">
        <f t="shared" si="71"/>
        <v>5700</v>
      </c>
      <c r="O294" s="65">
        <f t="shared" si="71"/>
        <v>8235</v>
      </c>
      <c r="P294" s="65">
        <f t="shared" si="71"/>
        <v>58743</v>
      </c>
      <c r="R294" s="206"/>
    </row>
    <row r="295" spans="1:18" ht="9.75" hidden="1" customHeight="1" x14ac:dyDescent="0.25">
      <c r="A295"/>
      <c r="B295" s="67"/>
      <c r="C295" s="68" t="s">
        <v>102</v>
      </c>
      <c r="D295" s="79">
        <v>4366</v>
      </c>
      <c r="E295" s="79">
        <v>2846</v>
      </c>
      <c r="F295" s="69">
        <v>2956</v>
      </c>
      <c r="G295" s="80">
        <v>5143</v>
      </c>
      <c r="H295" s="69">
        <v>3911</v>
      </c>
      <c r="I295" s="77">
        <v>2578</v>
      </c>
      <c r="J295" s="78">
        <v>3927</v>
      </c>
      <c r="K295" s="72">
        <v>1911</v>
      </c>
      <c r="L295" s="72">
        <v>3967</v>
      </c>
      <c r="M295" s="72">
        <v>5008</v>
      </c>
      <c r="N295" s="72">
        <v>5041</v>
      </c>
      <c r="O295" s="72">
        <v>7137</v>
      </c>
      <c r="P295" s="203">
        <f>SUM(D295:O295)</f>
        <v>48791</v>
      </c>
    </row>
    <row r="296" spans="1:18" ht="9.75" hidden="1" customHeight="1" x14ac:dyDescent="0.25">
      <c r="A296"/>
      <c r="B296" s="67"/>
      <c r="C296" s="68" t="s">
        <v>103</v>
      </c>
      <c r="D296" s="69">
        <v>733</v>
      </c>
      <c r="E296" s="69">
        <v>519</v>
      </c>
      <c r="F296" s="69">
        <v>534</v>
      </c>
      <c r="G296" s="69">
        <v>687</v>
      </c>
      <c r="H296" s="69">
        <v>636</v>
      </c>
      <c r="I296" s="69">
        <v>565</v>
      </c>
      <c r="J296" s="69">
        <v>562</v>
      </c>
      <c r="K296" s="69">
        <v>371</v>
      </c>
      <c r="L296" s="69">
        <v>356</v>
      </c>
      <c r="M296" s="69">
        <v>492</v>
      </c>
      <c r="N296" s="69">
        <v>560</v>
      </c>
      <c r="O296" s="69">
        <v>960</v>
      </c>
      <c r="P296" s="203">
        <f>SUM(D296:O296)</f>
        <v>6975</v>
      </c>
    </row>
    <row r="297" spans="1:18" ht="9.75" hidden="1" customHeight="1" x14ac:dyDescent="0.25">
      <c r="A297"/>
      <c r="B297" s="71"/>
      <c r="C297" s="68" t="s">
        <v>124</v>
      </c>
      <c r="D297" s="69">
        <v>338</v>
      </c>
      <c r="E297" s="69">
        <v>332</v>
      </c>
      <c r="F297" s="69">
        <v>402</v>
      </c>
      <c r="G297" s="69">
        <v>552</v>
      </c>
      <c r="H297" s="69">
        <v>371</v>
      </c>
      <c r="I297" s="69">
        <v>167</v>
      </c>
      <c r="J297" s="69">
        <v>208</v>
      </c>
      <c r="K297" s="69">
        <v>124</v>
      </c>
      <c r="L297" s="69">
        <v>131</v>
      </c>
      <c r="M297" s="69">
        <v>115</v>
      </c>
      <c r="N297" s="69">
        <v>99</v>
      </c>
      <c r="O297" s="69">
        <v>138</v>
      </c>
      <c r="P297" s="203">
        <f>SUM(D297:O297)</f>
        <v>2977</v>
      </c>
    </row>
    <row r="298" spans="1:18" ht="4.5" hidden="1" customHeight="1" x14ac:dyDescent="0.25">
      <c r="A298"/>
      <c r="J298" s="92"/>
      <c r="Q298"/>
    </row>
    <row r="299" spans="1:18" ht="10.25" hidden="1" customHeight="1" x14ac:dyDescent="0.25">
      <c r="A299"/>
      <c r="B299" s="73" t="s">
        <v>21</v>
      </c>
      <c r="C299" s="74"/>
      <c r="D299" s="65">
        <f t="shared" ref="D299:P299" si="72">SUM(D300:D302)</f>
        <v>2036</v>
      </c>
      <c r="E299" s="65">
        <f t="shared" si="72"/>
        <v>4176</v>
      </c>
      <c r="F299" s="65">
        <f t="shared" si="72"/>
        <v>4317</v>
      </c>
      <c r="G299" s="65">
        <f t="shared" si="72"/>
        <v>4165</v>
      </c>
      <c r="H299" s="65">
        <f t="shared" si="72"/>
        <v>3990</v>
      </c>
      <c r="I299" s="65">
        <f t="shared" si="72"/>
        <v>4717</v>
      </c>
      <c r="J299" s="65">
        <f t="shared" si="72"/>
        <v>4412</v>
      </c>
      <c r="K299" s="65">
        <f t="shared" si="72"/>
        <v>4332</v>
      </c>
      <c r="L299" s="65">
        <f t="shared" si="72"/>
        <v>4585</v>
      </c>
      <c r="M299" s="65">
        <f t="shared" si="72"/>
        <v>3323</v>
      </c>
      <c r="N299" s="65">
        <f t="shared" si="72"/>
        <v>3739</v>
      </c>
      <c r="O299" s="65">
        <f t="shared" si="72"/>
        <v>4516</v>
      </c>
      <c r="P299" s="65">
        <f t="shared" si="72"/>
        <v>48308</v>
      </c>
    </row>
    <row r="300" spans="1:18" ht="9.9" hidden="1" customHeight="1" x14ac:dyDescent="0.25">
      <c r="A300"/>
      <c r="B300" s="67"/>
      <c r="C300" s="68" t="s">
        <v>40</v>
      </c>
      <c r="D300" s="93">
        <v>141</v>
      </c>
      <c r="E300" s="93">
        <v>1199</v>
      </c>
      <c r="F300" s="93">
        <v>1054</v>
      </c>
      <c r="G300" s="69">
        <v>1509</v>
      </c>
      <c r="H300" s="69">
        <v>1677</v>
      </c>
      <c r="I300" s="69">
        <v>827</v>
      </c>
      <c r="J300" s="69">
        <v>1511</v>
      </c>
      <c r="K300" s="69">
        <v>1513</v>
      </c>
      <c r="L300" s="69">
        <v>1963</v>
      </c>
      <c r="M300" s="69">
        <v>1829</v>
      </c>
      <c r="N300" s="69">
        <v>1693</v>
      </c>
      <c r="O300" s="69">
        <v>1463</v>
      </c>
      <c r="P300" s="202">
        <f>SUM(D300:O300)</f>
        <v>16379</v>
      </c>
    </row>
    <row r="301" spans="1:18" ht="9.9" hidden="1" customHeight="1" x14ac:dyDescent="0.25">
      <c r="A301"/>
      <c r="B301" s="67"/>
      <c r="C301" s="68" t="s">
        <v>85</v>
      </c>
      <c r="D301" s="69">
        <v>1748</v>
      </c>
      <c r="E301" s="69">
        <v>2486</v>
      </c>
      <c r="F301" s="69">
        <v>2629</v>
      </c>
      <c r="G301" s="69">
        <v>2242</v>
      </c>
      <c r="H301" s="69">
        <v>2196</v>
      </c>
      <c r="I301" s="69">
        <v>3261</v>
      </c>
      <c r="J301" s="69">
        <v>2616</v>
      </c>
      <c r="K301" s="69">
        <v>2463</v>
      </c>
      <c r="L301" s="69">
        <v>2411</v>
      </c>
      <c r="M301" s="69">
        <v>1280</v>
      </c>
      <c r="N301" s="69">
        <v>1672</v>
      </c>
      <c r="O301" s="69">
        <v>2502</v>
      </c>
      <c r="P301" s="202">
        <f>SUM(D301:O301)</f>
        <v>27506</v>
      </c>
    </row>
    <row r="302" spans="1:18" ht="9.9" hidden="1" customHeight="1" x14ac:dyDescent="0.25">
      <c r="A302"/>
      <c r="B302" s="71"/>
      <c r="C302" s="68" t="s">
        <v>88</v>
      </c>
      <c r="D302" s="69">
        <v>147</v>
      </c>
      <c r="E302" s="69">
        <v>491</v>
      </c>
      <c r="F302" s="69">
        <v>634</v>
      </c>
      <c r="G302" s="69">
        <v>414</v>
      </c>
      <c r="H302" s="69">
        <v>117</v>
      </c>
      <c r="I302" s="69">
        <v>629</v>
      </c>
      <c r="J302" s="69">
        <v>285</v>
      </c>
      <c r="K302" s="69">
        <v>356</v>
      </c>
      <c r="L302" s="69">
        <v>211</v>
      </c>
      <c r="M302" s="69">
        <v>214</v>
      </c>
      <c r="N302" s="69">
        <v>374</v>
      </c>
      <c r="O302" s="69">
        <v>551</v>
      </c>
      <c r="P302" s="202">
        <f>SUM(D302:O302)</f>
        <v>4423</v>
      </c>
    </row>
    <row r="303" spans="1:18" ht="6" hidden="1" customHeight="1" x14ac:dyDescent="0.25">
      <c r="A303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6"/>
    </row>
    <row r="304" spans="1:18" ht="11.4" hidden="1" customHeight="1" x14ac:dyDescent="0.25">
      <c r="A304"/>
      <c r="B304" s="63" t="s">
        <v>23</v>
      </c>
      <c r="C304" s="64"/>
      <c r="D304" s="65">
        <f>SUM(D305:D308)</f>
        <v>1806</v>
      </c>
      <c r="E304" s="65">
        <f t="shared" ref="E304:P304" si="73">SUM(E305:E308)</f>
        <v>4490</v>
      </c>
      <c r="F304" s="65">
        <f t="shared" si="73"/>
        <v>6663</v>
      </c>
      <c r="G304" s="65">
        <f t="shared" si="73"/>
        <v>5192</v>
      </c>
      <c r="H304" s="65">
        <f t="shared" si="73"/>
        <v>7602</v>
      </c>
      <c r="I304" s="65">
        <f t="shared" si="73"/>
        <v>7919</v>
      </c>
      <c r="J304" s="65">
        <f t="shared" si="73"/>
        <v>6777</v>
      </c>
      <c r="K304" s="65">
        <f t="shared" si="73"/>
        <v>4606</v>
      </c>
      <c r="L304" s="65">
        <f t="shared" si="73"/>
        <v>4643</v>
      </c>
      <c r="M304" s="65">
        <f t="shared" si="73"/>
        <v>4661</v>
      </c>
      <c r="N304" s="65">
        <f t="shared" si="73"/>
        <v>3754</v>
      </c>
      <c r="O304" s="65">
        <f t="shared" si="73"/>
        <v>8917</v>
      </c>
      <c r="P304" s="65">
        <f t="shared" si="73"/>
        <v>67030</v>
      </c>
    </row>
    <row r="305" spans="1:16" ht="9.75" hidden="1" customHeight="1" x14ac:dyDescent="0.25">
      <c r="A305"/>
      <c r="B305" s="67"/>
      <c r="C305" s="102" t="s">
        <v>56</v>
      </c>
      <c r="D305" s="103">
        <v>1663</v>
      </c>
      <c r="E305" s="103">
        <v>3155</v>
      </c>
      <c r="F305" s="104">
        <v>3888</v>
      </c>
      <c r="G305" s="105">
        <v>3311</v>
      </c>
      <c r="H305" s="104">
        <v>4800</v>
      </c>
      <c r="I305" s="106">
        <v>5094</v>
      </c>
      <c r="J305" s="106">
        <v>4764</v>
      </c>
      <c r="K305" s="104">
        <v>3201</v>
      </c>
      <c r="L305" s="104">
        <v>2891</v>
      </c>
      <c r="M305" s="104">
        <v>3219</v>
      </c>
      <c r="N305" s="104">
        <v>1991</v>
      </c>
      <c r="O305" s="104">
        <v>270</v>
      </c>
      <c r="P305" s="202">
        <f>SUM(D305:O305)</f>
        <v>38247</v>
      </c>
    </row>
    <row r="306" spans="1:16" ht="9.75" hidden="1" customHeight="1" x14ac:dyDescent="0.25">
      <c r="A306"/>
      <c r="B306" s="67"/>
      <c r="C306" s="68" t="s">
        <v>89</v>
      </c>
      <c r="D306" s="79">
        <v>143</v>
      </c>
      <c r="E306" s="79">
        <v>1335</v>
      </c>
      <c r="F306" s="69">
        <v>2775</v>
      </c>
      <c r="G306" s="80">
        <v>1881</v>
      </c>
      <c r="H306" s="69">
        <v>2802</v>
      </c>
      <c r="I306" s="77">
        <v>2825</v>
      </c>
      <c r="J306" s="78">
        <v>2013</v>
      </c>
      <c r="K306" s="72">
        <v>1405</v>
      </c>
      <c r="L306" s="72">
        <v>1752</v>
      </c>
      <c r="M306" s="72">
        <v>1442</v>
      </c>
      <c r="N306" s="72">
        <v>740</v>
      </c>
      <c r="O306" s="72">
        <v>7</v>
      </c>
      <c r="P306" s="202">
        <f>SUM(D306:O306)</f>
        <v>19120</v>
      </c>
    </row>
    <row r="307" spans="1:16" ht="9.75" hidden="1" customHeight="1" x14ac:dyDescent="0.25">
      <c r="A307"/>
      <c r="B307" s="67"/>
      <c r="C307" s="102" t="s">
        <v>146</v>
      </c>
      <c r="D307" s="103">
        <v>0</v>
      </c>
      <c r="E307" s="103">
        <v>0</v>
      </c>
      <c r="F307" s="104">
        <v>0</v>
      </c>
      <c r="G307" s="105">
        <v>0</v>
      </c>
      <c r="H307" s="104">
        <v>0</v>
      </c>
      <c r="I307" s="106">
        <v>0</v>
      </c>
      <c r="J307" s="106">
        <v>0</v>
      </c>
      <c r="K307" s="104">
        <v>0</v>
      </c>
      <c r="L307" s="104">
        <v>0</v>
      </c>
      <c r="M307" s="104">
        <v>0</v>
      </c>
      <c r="N307" s="104">
        <v>1023</v>
      </c>
      <c r="O307" s="104">
        <v>7486</v>
      </c>
      <c r="P307" s="202">
        <f>SUM(D307:O307)</f>
        <v>8509</v>
      </c>
    </row>
    <row r="308" spans="1:16" ht="9.75" hidden="1" customHeight="1" x14ac:dyDescent="0.25">
      <c r="A308"/>
      <c r="B308" s="71"/>
      <c r="C308" s="68" t="s">
        <v>147</v>
      </c>
      <c r="D308" s="69">
        <v>0</v>
      </c>
      <c r="E308" s="69">
        <v>0</v>
      </c>
      <c r="F308" s="69">
        <v>0</v>
      </c>
      <c r="G308" s="69">
        <v>0</v>
      </c>
      <c r="H308" s="69">
        <v>0</v>
      </c>
      <c r="I308" s="69">
        <v>0</v>
      </c>
      <c r="J308" s="69">
        <v>0</v>
      </c>
      <c r="K308" s="69">
        <v>0</v>
      </c>
      <c r="L308" s="69">
        <v>0</v>
      </c>
      <c r="M308" s="69">
        <v>0</v>
      </c>
      <c r="N308" s="69">
        <v>0</v>
      </c>
      <c r="O308" s="69">
        <v>1154</v>
      </c>
      <c r="P308" s="202">
        <f>SUM(D308:O308)</f>
        <v>1154</v>
      </c>
    </row>
    <row r="309" spans="1:16" ht="6" hidden="1" customHeight="1" x14ac:dyDescent="0.25">
      <c r="A309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6"/>
    </row>
    <row r="310" spans="1:16" ht="9.9" hidden="1" customHeight="1" x14ac:dyDescent="0.25">
      <c r="B310" s="63" t="s">
        <v>63</v>
      </c>
      <c r="C310" s="64"/>
      <c r="D310" s="65">
        <f>SUM(D311:D314)</f>
        <v>479</v>
      </c>
      <c r="E310" s="65">
        <f t="shared" ref="E310:P310" si="74">SUM(E311:E314)</f>
        <v>923</v>
      </c>
      <c r="F310" s="65">
        <f t="shared" si="74"/>
        <v>759</v>
      </c>
      <c r="G310" s="65">
        <f t="shared" si="74"/>
        <v>773</v>
      </c>
      <c r="H310" s="65">
        <f t="shared" si="74"/>
        <v>759</v>
      </c>
      <c r="I310" s="65">
        <f t="shared" si="74"/>
        <v>758</v>
      </c>
      <c r="J310" s="65">
        <f t="shared" si="74"/>
        <v>648</v>
      </c>
      <c r="K310" s="65">
        <f t="shared" si="74"/>
        <v>743</v>
      </c>
      <c r="L310" s="65">
        <f t="shared" si="74"/>
        <v>632</v>
      </c>
      <c r="M310" s="65">
        <f t="shared" si="74"/>
        <v>493</v>
      </c>
      <c r="N310" s="65">
        <f t="shared" si="74"/>
        <v>693</v>
      </c>
      <c r="O310" s="65">
        <f t="shared" si="74"/>
        <v>728</v>
      </c>
      <c r="P310" s="65">
        <f t="shared" si="74"/>
        <v>8388</v>
      </c>
    </row>
    <row r="311" spans="1:16" ht="9.9" hidden="1" customHeight="1" x14ac:dyDescent="0.25">
      <c r="B311" s="67"/>
      <c r="C311" s="68" t="s">
        <v>77</v>
      </c>
      <c r="D311" s="79">
        <v>259</v>
      </c>
      <c r="E311" s="79">
        <v>667</v>
      </c>
      <c r="F311" s="69">
        <v>543</v>
      </c>
      <c r="G311" s="80">
        <v>543</v>
      </c>
      <c r="H311" s="69">
        <v>605</v>
      </c>
      <c r="I311" s="77">
        <v>528</v>
      </c>
      <c r="J311" s="78">
        <v>470</v>
      </c>
      <c r="K311" s="72">
        <v>576</v>
      </c>
      <c r="L311" s="72">
        <v>458</v>
      </c>
      <c r="M311" s="72">
        <v>354</v>
      </c>
      <c r="N311" s="72">
        <v>421</v>
      </c>
      <c r="O311" s="72">
        <v>490</v>
      </c>
      <c r="P311" s="203">
        <f>SUM(D311:O311)</f>
        <v>5914</v>
      </c>
    </row>
    <row r="312" spans="1:16" ht="9.9" hidden="1" customHeight="1" x14ac:dyDescent="0.25">
      <c r="B312" s="67"/>
      <c r="C312" s="68" t="s">
        <v>91</v>
      </c>
      <c r="D312" s="79">
        <v>194</v>
      </c>
      <c r="E312" s="79">
        <v>225</v>
      </c>
      <c r="F312" s="69">
        <v>169</v>
      </c>
      <c r="G312" s="80">
        <v>194</v>
      </c>
      <c r="H312" s="69">
        <v>135</v>
      </c>
      <c r="I312" s="77">
        <v>205</v>
      </c>
      <c r="J312" s="77">
        <v>160</v>
      </c>
      <c r="K312" s="69">
        <v>147</v>
      </c>
      <c r="L312" s="69">
        <v>163</v>
      </c>
      <c r="M312" s="69">
        <v>124</v>
      </c>
      <c r="N312" s="69">
        <v>253</v>
      </c>
      <c r="O312" s="69">
        <v>237</v>
      </c>
      <c r="P312" s="203">
        <f>SUM(D312:O312)</f>
        <v>2206</v>
      </c>
    </row>
    <row r="313" spans="1:16" ht="9.9" hidden="1" customHeight="1" x14ac:dyDescent="0.25">
      <c r="B313" s="67"/>
      <c r="C313" s="68" t="s">
        <v>124</v>
      </c>
      <c r="D313" s="79">
        <v>26</v>
      </c>
      <c r="E313" s="79">
        <v>31</v>
      </c>
      <c r="F313" s="69">
        <v>47</v>
      </c>
      <c r="G313" s="80">
        <v>36</v>
      </c>
      <c r="H313" s="69">
        <v>19</v>
      </c>
      <c r="I313" s="77">
        <v>25</v>
      </c>
      <c r="J313" s="77">
        <v>18</v>
      </c>
      <c r="K313" s="69">
        <v>20</v>
      </c>
      <c r="L313" s="69">
        <v>11</v>
      </c>
      <c r="M313" s="69">
        <v>15</v>
      </c>
      <c r="N313" s="69">
        <v>19</v>
      </c>
      <c r="O313" s="69">
        <v>1</v>
      </c>
      <c r="P313" s="203">
        <f>SUM(D313:O313)</f>
        <v>268</v>
      </c>
    </row>
    <row r="314" spans="1:16" ht="9.9" hidden="1" customHeight="1" x14ac:dyDescent="0.25">
      <c r="B314" s="71"/>
      <c r="C314" s="68" t="s">
        <v>92</v>
      </c>
      <c r="D314" s="79">
        <v>0</v>
      </c>
      <c r="E314" s="79">
        <v>0</v>
      </c>
      <c r="F314" s="69">
        <v>0</v>
      </c>
      <c r="G314" s="80">
        <v>0</v>
      </c>
      <c r="H314" s="69">
        <v>0</v>
      </c>
      <c r="I314" s="77">
        <v>0</v>
      </c>
      <c r="J314" s="78">
        <v>0</v>
      </c>
      <c r="K314" s="72">
        <v>0</v>
      </c>
      <c r="L314" s="72">
        <v>0</v>
      </c>
      <c r="M314" s="72">
        <v>0</v>
      </c>
      <c r="N314" s="72">
        <v>0</v>
      </c>
      <c r="O314" s="72">
        <v>0</v>
      </c>
      <c r="P314" s="202">
        <f>SUM(D314:O314)</f>
        <v>0</v>
      </c>
    </row>
    <row r="315" spans="1:16" ht="6.65" hidden="1" customHeight="1" x14ac:dyDescent="0.25"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76"/>
    </row>
    <row r="316" spans="1:16" ht="9.9" hidden="1" customHeight="1" x14ac:dyDescent="0.25">
      <c r="B316" s="63" t="s">
        <v>43</v>
      </c>
      <c r="C316" s="64"/>
      <c r="D316" s="65">
        <f>SUM(D317:D318)</f>
        <v>3619</v>
      </c>
      <c r="E316" s="65">
        <f>SUM(E317:E318)</f>
        <v>2684</v>
      </c>
      <c r="F316" s="65">
        <f t="shared" ref="F316:P316" si="75">SUM(F317:F318)</f>
        <v>2740</v>
      </c>
      <c r="G316" s="65">
        <f t="shared" si="75"/>
        <v>4175</v>
      </c>
      <c r="H316" s="65">
        <f t="shared" si="75"/>
        <v>3722</v>
      </c>
      <c r="I316" s="65">
        <f t="shared" si="75"/>
        <v>2864</v>
      </c>
      <c r="J316" s="65">
        <f t="shared" si="75"/>
        <v>1548</v>
      </c>
      <c r="K316" s="65">
        <f t="shared" si="75"/>
        <v>1962</v>
      </c>
      <c r="L316" s="65">
        <f t="shared" si="75"/>
        <v>2452</v>
      </c>
      <c r="M316" s="65">
        <f t="shared" si="75"/>
        <v>1729</v>
      </c>
      <c r="N316" s="65">
        <f t="shared" si="75"/>
        <v>2312</v>
      </c>
      <c r="O316" s="65">
        <f t="shared" si="75"/>
        <v>3083</v>
      </c>
      <c r="P316" s="65">
        <f t="shared" si="75"/>
        <v>32890</v>
      </c>
    </row>
    <row r="317" spans="1:16" ht="9.9" hidden="1" customHeight="1" x14ac:dyDescent="0.25">
      <c r="B317" s="67"/>
      <c r="C317" s="68" t="s">
        <v>105</v>
      </c>
      <c r="D317" s="79">
        <v>2728</v>
      </c>
      <c r="E317" s="79">
        <v>2034</v>
      </c>
      <c r="F317" s="69">
        <v>2072</v>
      </c>
      <c r="G317" s="80">
        <v>3273</v>
      </c>
      <c r="H317" s="69">
        <v>2258</v>
      </c>
      <c r="I317" s="77">
        <v>1724</v>
      </c>
      <c r="J317" s="77">
        <v>1093</v>
      </c>
      <c r="K317" s="69">
        <v>1398</v>
      </c>
      <c r="L317" s="69">
        <v>1493</v>
      </c>
      <c r="M317" s="69">
        <v>1052</v>
      </c>
      <c r="N317" s="69">
        <v>1415</v>
      </c>
      <c r="O317" s="69">
        <v>1890</v>
      </c>
      <c r="P317" s="203">
        <f>SUM(D317:O317)</f>
        <v>22430</v>
      </c>
    </row>
    <row r="318" spans="1:16" ht="9.9" hidden="1" customHeight="1" x14ac:dyDescent="0.25">
      <c r="B318" s="71"/>
      <c r="C318" s="68" t="s">
        <v>106</v>
      </c>
      <c r="D318" s="79">
        <v>891</v>
      </c>
      <c r="E318" s="79">
        <v>650</v>
      </c>
      <c r="F318" s="69">
        <v>668</v>
      </c>
      <c r="G318" s="80">
        <v>902</v>
      </c>
      <c r="H318" s="69">
        <v>1464</v>
      </c>
      <c r="I318" s="77">
        <v>1140</v>
      </c>
      <c r="J318" s="77">
        <v>455</v>
      </c>
      <c r="K318" s="69">
        <v>564</v>
      </c>
      <c r="L318" s="69">
        <v>959</v>
      </c>
      <c r="M318" s="69">
        <v>677</v>
      </c>
      <c r="N318" s="69">
        <v>897</v>
      </c>
      <c r="O318" s="69">
        <v>1193</v>
      </c>
      <c r="P318" s="203">
        <f>SUM(D318:O318)</f>
        <v>10460</v>
      </c>
    </row>
    <row r="319" spans="1:16" ht="6.65" hidden="1" customHeight="1" x14ac:dyDescent="0.25"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76"/>
    </row>
    <row r="320" spans="1:16" ht="9.9" hidden="1" customHeight="1" x14ac:dyDescent="0.25">
      <c r="B320" s="63" t="s">
        <v>5</v>
      </c>
      <c r="C320" s="64"/>
      <c r="D320" s="197">
        <f>SUM(D321:D322)</f>
        <v>2159</v>
      </c>
      <c r="E320" s="197">
        <f t="shared" ref="E320:P320" si="76">SUM(E321:E322)</f>
        <v>1680</v>
      </c>
      <c r="F320" s="197">
        <f t="shared" si="76"/>
        <v>1860</v>
      </c>
      <c r="G320" s="197">
        <f t="shared" si="76"/>
        <v>1997</v>
      </c>
      <c r="H320" s="197">
        <f t="shared" si="76"/>
        <v>2477</v>
      </c>
      <c r="I320" s="197">
        <f t="shared" si="76"/>
        <v>2913</v>
      </c>
      <c r="J320" s="197">
        <f t="shared" si="76"/>
        <v>1361</v>
      </c>
      <c r="K320" s="197">
        <f t="shared" si="76"/>
        <v>2534</v>
      </c>
      <c r="L320" s="197">
        <f t="shared" si="76"/>
        <v>2327</v>
      </c>
      <c r="M320" s="197">
        <f t="shared" si="76"/>
        <v>2722</v>
      </c>
      <c r="N320" s="197">
        <f t="shared" si="76"/>
        <v>2864</v>
      </c>
      <c r="O320" s="197">
        <f t="shared" si="76"/>
        <v>3811</v>
      </c>
      <c r="P320" s="197">
        <f t="shared" si="76"/>
        <v>28705</v>
      </c>
    </row>
    <row r="321" spans="1:17" ht="9.9" hidden="1" customHeight="1" x14ac:dyDescent="0.25">
      <c r="B321" s="67"/>
      <c r="C321" s="68" t="s">
        <v>72</v>
      </c>
      <c r="D321" s="69">
        <v>1039</v>
      </c>
      <c r="E321" s="69">
        <v>831</v>
      </c>
      <c r="F321" s="69">
        <v>988</v>
      </c>
      <c r="G321" s="69">
        <v>1139</v>
      </c>
      <c r="H321" s="69">
        <v>1376</v>
      </c>
      <c r="I321" s="69">
        <v>1657</v>
      </c>
      <c r="J321" s="77">
        <v>914</v>
      </c>
      <c r="K321" s="69">
        <v>1352</v>
      </c>
      <c r="L321" s="69">
        <v>1312</v>
      </c>
      <c r="M321" s="69">
        <v>1137</v>
      </c>
      <c r="N321" s="69">
        <v>1460</v>
      </c>
      <c r="O321" s="69">
        <v>1916</v>
      </c>
      <c r="P321" s="203">
        <f>SUM(D321:O321)</f>
        <v>15121</v>
      </c>
    </row>
    <row r="322" spans="1:17" ht="9.9" hidden="1" customHeight="1" x14ac:dyDescent="0.25">
      <c r="B322" s="71"/>
      <c r="C322" s="68" t="s">
        <v>128</v>
      </c>
      <c r="D322" s="198">
        <v>1120</v>
      </c>
      <c r="E322" s="198">
        <v>849</v>
      </c>
      <c r="F322" s="199">
        <v>872</v>
      </c>
      <c r="G322" s="200">
        <v>858</v>
      </c>
      <c r="H322" s="199">
        <v>1101</v>
      </c>
      <c r="I322" s="201">
        <v>1256</v>
      </c>
      <c r="J322" s="77">
        <v>447</v>
      </c>
      <c r="K322" s="69">
        <v>1182</v>
      </c>
      <c r="L322" s="69">
        <v>1015</v>
      </c>
      <c r="M322" s="69">
        <v>1585</v>
      </c>
      <c r="N322" s="69">
        <v>1404</v>
      </c>
      <c r="O322" s="69">
        <v>1895</v>
      </c>
      <c r="P322" s="203">
        <f>SUM(D322:O322)</f>
        <v>13584</v>
      </c>
    </row>
    <row r="323" spans="1:17" ht="7.25" hidden="1" customHeight="1" x14ac:dyDescent="0.25"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76"/>
    </row>
    <row r="324" spans="1:17" ht="10.25" hidden="1" customHeight="1" x14ac:dyDescent="0.25">
      <c r="B324" s="73" t="s">
        <v>67</v>
      </c>
      <c r="C324" s="74"/>
      <c r="D324" s="65">
        <f t="shared" ref="D324:P324" si="77">SUM(D325:D326)</f>
        <v>5501</v>
      </c>
      <c r="E324" s="65">
        <f t="shared" si="77"/>
        <v>4655</v>
      </c>
      <c r="F324" s="65">
        <f t="shared" si="77"/>
        <v>3967</v>
      </c>
      <c r="G324" s="65">
        <f t="shared" si="77"/>
        <v>4023</v>
      </c>
      <c r="H324" s="65">
        <f t="shared" si="77"/>
        <v>4330</v>
      </c>
      <c r="I324" s="65">
        <f t="shared" si="77"/>
        <v>3630</v>
      </c>
      <c r="J324" s="65">
        <f t="shared" si="77"/>
        <v>2966</v>
      </c>
      <c r="K324" s="65">
        <f t="shared" si="77"/>
        <v>3080</v>
      </c>
      <c r="L324" s="65">
        <f t="shared" si="77"/>
        <v>2863</v>
      </c>
      <c r="M324" s="65">
        <f t="shared" si="77"/>
        <v>3082</v>
      </c>
      <c r="N324" s="65">
        <f t="shared" si="77"/>
        <v>4224</v>
      </c>
      <c r="O324" s="65">
        <f t="shared" si="77"/>
        <v>4833</v>
      </c>
      <c r="P324" s="65">
        <f t="shared" si="77"/>
        <v>47154</v>
      </c>
    </row>
    <row r="325" spans="1:17" ht="9.9" hidden="1" customHeight="1" x14ac:dyDescent="0.25">
      <c r="B325" s="67"/>
      <c r="C325" s="68" t="s">
        <v>100</v>
      </c>
      <c r="D325" s="79">
        <v>5323</v>
      </c>
      <c r="E325" s="79">
        <v>4543</v>
      </c>
      <c r="F325" s="79">
        <v>3640</v>
      </c>
      <c r="G325" s="79">
        <v>3793</v>
      </c>
      <c r="H325" s="79">
        <v>3994</v>
      </c>
      <c r="I325" s="79">
        <v>3222</v>
      </c>
      <c r="J325" s="79">
        <v>2758</v>
      </c>
      <c r="K325" s="79">
        <v>2818</v>
      </c>
      <c r="L325" s="79">
        <v>2695</v>
      </c>
      <c r="M325" s="79">
        <v>2895</v>
      </c>
      <c r="N325" s="72">
        <v>4035</v>
      </c>
      <c r="O325" s="72">
        <v>4763</v>
      </c>
      <c r="P325" s="202">
        <f>SUM(D325:O325)</f>
        <v>44479</v>
      </c>
    </row>
    <row r="326" spans="1:17" s="11" customFormat="1" ht="8.4" hidden="1" customHeight="1" x14ac:dyDescent="0.25">
      <c r="A326" s="15"/>
      <c r="B326" s="71"/>
      <c r="C326" s="68" t="s">
        <v>141</v>
      </c>
      <c r="D326" s="79">
        <v>178</v>
      </c>
      <c r="E326" s="79">
        <v>112</v>
      </c>
      <c r="F326" s="79">
        <v>327</v>
      </c>
      <c r="G326" s="79">
        <v>230</v>
      </c>
      <c r="H326" s="79">
        <v>336</v>
      </c>
      <c r="I326" s="79">
        <v>408</v>
      </c>
      <c r="J326" s="79">
        <v>208</v>
      </c>
      <c r="K326" s="79">
        <v>262</v>
      </c>
      <c r="L326" s="79">
        <v>168</v>
      </c>
      <c r="M326" s="79">
        <v>187</v>
      </c>
      <c r="N326" s="72">
        <v>189</v>
      </c>
      <c r="O326" s="72">
        <v>70</v>
      </c>
      <c r="P326" s="202">
        <f>SUM(D326:O326)</f>
        <v>2675</v>
      </c>
      <c r="Q326" s="90"/>
    </row>
    <row r="327" spans="1:17" ht="6.65" hidden="1" customHeight="1" x14ac:dyDescent="0.25">
      <c r="A327" s="142"/>
      <c r="B327" s="142"/>
      <c r="C327" s="142"/>
      <c r="D327" s="143"/>
      <c r="E327" s="143"/>
      <c r="F327" s="143"/>
      <c r="G327" s="143"/>
      <c r="H327" s="143"/>
      <c r="I327" s="143"/>
      <c r="J327" s="144"/>
      <c r="K327" s="144"/>
      <c r="L327" s="144"/>
      <c r="M327" s="144"/>
      <c r="N327" s="144"/>
      <c r="O327" s="144"/>
      <c r="P327" s="145"/>
    </row>
    <row r="328" spans="1:17" ht="10.25" hidden="1" customHeight="1" x14ac:dyDescent="0.25">
      <c r="B328" s="63" t="s">
        <v>110</v>
      </c>
      <c r="C328" s="64"/>
      <c r="D328" s="65">
        <f>SUM(D329,D330)</f>
        <v>2415</v>
      </c>
      <c r="E328" s="65">
        <f t="shared" ref="E328:O328" si="78">SUM(E329,E330)</f>
        <v>2592</v>
      </c>
      <c r="F328" s="65">
        <f t="shared" si="78"/>
        <v>1907</v>
      </c>
      <c r="G328" s="65">
        <f t="shared" si="78"/>
        <v>2100</v>
      </c>
      <c r="H328" s="65">
        <f t="shared" si="78"/>
        <v>2859</v>
      </c>
      <c r="I328" s="65">
        <f t="shared" si="78"/>
        <v>2219</v>
      </c>
      <c r="J328" s="65">
        <f t="shared" si="78"/>
        <v>2231</v>
      </c>
      <c r="K328" s="65">
        <f t="shared" si="78"/>
        <v>2004</v>
      </c>
      <c r="L328" s="65">
        <f t="shared" si="78"/>
        <v>2348</v>
      </c>
      <c r="M328" s="65">
        <f t="shared" si="78"/>
        <v>2413</v>
      </c>
      <c r="N328" s="65">
        <f t="shared" si="78"/>
        <v>2832</v>
      </c>
      <c r="O328" s="65">
        <f t="shared" si="78"/>
        <v>3577</v>
      </c>
      <c r="P328" s="65">
        <f>SUM(P329:P330)</f>
        <v>29497</v>
      </c>
    </row>
    <row r="329" spans="1:17" ht="9.9" hidden="1" customHeight="1" x14ac:dyDescent="0.25">
      <c r="B329" s="67"/>
      <c r="C329" s="68" t="s">
        <v>140</v>
      </c>
      <c r="D329" s="79">
        <v>2415</v>
      </c>
      <c r="E329" s="79">
        <v>2592</v>
      </c>
      <c r="F329" s="79">
        <v>1813</v>
      </c>
      <c r="G329" s="79">
        <v>1686</v>
      </c>
      <c r="H329" s="79">
        <v>2315</v>
      </c>
      <c r="I329" s="79">
        <v>1734</v>
      </c>
      <c r="J329" s="79">
        <v>1894</v>
      </c>
      <c r="K329" s="79">
        <v>1673</v>
      </c>
      <c r="L329" s="79">
        <v>2108</v>
      </c>
      <c r="M329" s="79">
        <v>2240</v>
      </c>
      <c r="N329" s="72">
        <v>2598</v>
      </c>
      <c r="O329" s="72">
        <v>3477</v>
      </c>
      <c r="P329" s="202">
        <f>SUM(D329:O329)</f>
        <v>26545</v>
      </c>
    </row>
    <row r="330" spans="1:17" s="11" customFormat="1" ht="8.4" hidden="1" customHeight="1" x14ac:dyDescent="0.25">
      <c r="A330" s="15"/>
      <c r="B330" s="71"/>
      <c r="C330" s="68" t="s">
        <v>142</v>
      </c>
      <c r="D330" s="79">
        <v>0</v>
      </c>
      <c r="E330" s="79">
        <v>0</v>
      </c>
      <c r="F330" s="79">
        <v>94</v>
      </c>
      <c r="G330" s="79">
        <v>414</v>
      </c>
      <c r="H330" s="79">
        <v>544</v>
      </c>
      <c r="I330" s="79">
        <v>485</v>
      </c>
      <c r="J330" s="79">
        <v>337</v>
      </c>
      <c r="K330" s="79">
        <v>331</v>
      </c>
      <c r="L330" s="79">
        <v>240</v>
      </c>
      <c r="M330" s="79">
        <v>173</v>
      </c>
      <c r="N330" s="72">
        <v>234</v>
      </c>
      <c r="O330" s="72">
        <v>100</v>
      </c>
      <c r="P330" s="202">
        <f>SUM(D330:O330)</f>
        <v>2952</v>
      </c>
      <c r="Q330" s="90"/>
    </row>
    <row r="331" spans="1:17" ht="6.65" hidden="1" customHeight="1" x14ac:dyDescent="0.25">
      <c r="A331" s="142"/>
      <c r="B331" s="142"/>
      <c r="C331" s="142"/>
      <c r="D331" s="143"/>
      <c r="E331" s="143"/>
      <c r="F331" s="143"/>
      <c r="G331" s="143"/>
      <c r="H331" s="143"/>
      <c r="I331" s="143"/>
      <c r="J331" s="144"/>
      <c r="K331" s="144"/>
      <c r="L331" s="144"/>
      <c r="M331" s="144"/>
      <c r="N331" s="144"/>
      <c r="O331" s="144"/>
      <c r="P331" s="145"/>
    </row>
    <row r="332" spans="1:17" ht="10.25" hidden="1" customHeight="1" x14ac:dyDescent="0.25">
      <c r="B332" s="63" t="s">
        <v>9</v>
      </c>
      <c r="C332" s="64"/>
      <c r="D332" s="65">
        <f>SUM(D333:D334)</f>
        <v>5443</v>
      </c>
      <c r="E332" s="65">
        <f t="shared" ref="E332:P332" si="79">SUM(E333:E334)</f>
        <v>7995</v>
      </c>
      <c r="F332" s="65">
        <f t="shared" si="79"/>
        <v>4708</v>
      </c>
      <c r="G332" s="65">
        <f t="shared" si="79"/>
        <v>8423</v>
      </c>
      <c r="H332" s="65">
        <f t="shared" si="79"/>
        <v>8299</v>
      </c>
      <c r="I332" s="65">
        <f t="shared" si="79"/>
        <v>6980</v>
      </c>
      <c r="J332" s="65">
        <f t="shared" si="79"/>
        <v>8986</v>
      </c>
      <c r="K332" s="65">
        <f t="shared" si="79"/>
        <v>7792</v>
      </c>
      <c r="L332" s="65">
        <f t="shared" si="79"/>
        <v>8503</v>
      </c>
      <c r="M332" s="65">
        <f t="shared" si="79"/>
        <v>9020</v>
      </c>
      <c r="N332" s="65">
        <f t="shared" si="79"/>
        <v>7020</v>
      </c>
      <c r="O332" s="65">
        <f t="shared" si="79"/>
        <v>9242</v>
      </c>
      <c r="P332" s="65">
        <f t="shared" si="79"/>
        <v>92411</v>
      </c>
    </row>
    <row r="333" spans="1:17" ht="9" hidden="1" customHeight="1" x14ac:dyDescent="0.25">
      <c r="B333" s="67"/>
      <c r="C333" s="68" t="s">
        <v>143</v>
      </c>
      <c r="D333" s="79">
        <v>5402</v>
      </c>
      <c r="E333" s="79">
        <v>5038</v>
      </c>
      <c r="F333" s="69">
        <v>3699</v>
      </c>
      <c r="G333" s="80">
        <v>6604</v>
      </c>
      <c r="H333" s="69">
        <v>6054</v>
      </c>
      <c r="I333" s="77">
        <v>5011</v>
      </c>
      <c r="J333" s="77">
        <v>6762</v>
      </c>
      <c r="K333" s="69">
        <v>5682</v>
      </c>
      <c r="L333" s="69">
        <v>6414</v>
      </c>
      <c r="M333" s="69">
        <v>6547</v>
      </c>
      <c r="N333" s="69">
        <v>5684</v>
      </c>
      <c r="O333" s="69">
        <v>9096</v>
      </c>
      <c r="P333" s="203">
        <f>SUM(D333:O333)</f>
        <v>71993</v>
      </c>
      <c r="Q333"/>
    </row>
    <row r="334" spans="1:17" ht="8.4" hidden="1" customHeight="1" x14ac:dyDescent="0.25">
      <c r="B334" s="71"/>
      <c r="C334" s="68" t="s">
        <v>144</v>
      </c>
      <c r="D334" s="79">
        <v>41</v>
      </c>
      <c r="E334" s="79">
        <v>2957</v>
      </c>
      <c r="F334" s="79">
        <v>1009</v>
      </c>
      <c r="G334" s="79">
        <v>1819</v>
      </c>
      <c r="H334" s="79">
        <v>2245</v>
      </c>
      <c r="I334" s="79">
        <v>1969</v>
      </c>
      <c r="J334" s="79">
        <v>2224</v>
      </c>
      <c r="K334" s="79">
        <v>2110</v>
      </c>
      <c r="L334" s="79">
        <v>2089</v>
      </c>
      <c r="M334" s="79">
        <v>2473</v>
      </c>
      <c r="N334" s="72">
        <v>1336</v>
      </c>
      <c r="O334" s="72">
        <v>146</v>
      </c>
      <c r="P334" s="203">
        <f>SUM(D334:O334)</f>
        <v>20418</v>
      </c>
      <c r="Q334"/>
    </row>
    <row r="335" spans="1:17" s="11" customFormat="1" ht="13" hidden="1" x14ac:dyDescent="0.25"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Q335" s="90"/>
    </row>
    <row r="336" spans="1:17" ht="14.5" hidden="1" thickBot="1" x14ac:dyDescent="0.3">
      <c r="B336" s="13" t="s">
        <v>112</v>
      </c>
      <c r="C336" s="13"/>
    </row>
    <row r="337" spans="1:17" ht="12.75" hidden="1" customHeight="1" thickBot="1" x14ac:dyDescent="0.3">
      <c r="B337" s="421" t="s">
        <v>1</v>
      </c>
      <c r="C337" s="422"/>
      <c r="D337" s="16">
        <v>1</v>
      </c>
      <c r="E337" s="17">
        <v>2</v>
      </c>
      <c r="F337" s="17">
        <v>3</v>
      </c>
      <c r="G337" s="17">
        <v>4</v>
      </c>
      <c r="H337" s="17">
        <v>5</v>
      </c>
      <c r="I337" s="17">
        <v>6</v>
      </c>
      <c r="J337" s="17">
        <v>7</v>
      </c>
      <c r="K337" s="17">
        <v>8</v>
      </c>
      <c r="L337" s="17" t="s">
        <v>54</v>
      </c>
      <c r="M337" s="17">
        <v>10</v>
      </c>
      <c r="N337" s="17">
        <v>11</v>
      </c>
      <c r="O337" s="17">
        <v>12</v>
      </c>
      <c r="P337" s="18" t="s">
        <v>0</v>
      </c>
    </row>
    <row r="338" spans="1:17" ht="12.75" hidden="1" customHeight="1" x14ac:dyDescent="0.25">
      <c r="B338" s="416" t="s">
        <v>37</v>
      </c>
      <c r="C338" s="130" t="s">
        <v>18</v>
      </c>
      <c r="D338" s="57">
        <v>45</v>
      </c>
      <c r="E338" s="58">
        <v>41</v>
      </c>
      <c r="F338" s="57">
        <v>78</v>
      </c>
      <c r="G338" s="58">
        <v>42</v>
      </c>
      <c r="H338" s="58">
        <v>93</v>
      </c>
      <c r="I338" s="58">
        <v>47</v>
      </c>
      <c r="J338" s="58">
        <v>29</v>
      </c>
      <c r="K338" s="58">
        <v>22</v>
      </c>
      <c r="L338" s="60">
        <v>41</v>
      </c>
      <c r="M338" s="58">
        <v>26</v>
      </c>
      <c r="N338" s="58">
        <v>13</v>
      </c>
      <c r="O338" s="58">
        <v>33</v>
      </c>
      <c r="P338" s="59">
        <f t="shared" ref="P338:P343" si="80">SUM(D338:O338)</f>
        <v>510</v>
      </c>
      <c r="Q338"/>
    </row>
    <row r="339" spans="1:17" ht="12.75" hidden="1" customHeight="1" x14ac:dyDescent="0.25">
      <c r="B339" s="417"/>
      <c r="C339" s="130" t="s">
        <v>20</v>
      </c>
      <c r="D339" s="57">
        <v>6552</v>
      </c>
      <c r="E339" s="57">
        <v>5124</v>
      </c>
      <c r="F339" s="57">
        <v>8454</v>
      </c>
      <c r="G339" s="57">
        <v>7422</v>
      </c>
      <c r="H339" s="57">
        <v>6697</v>
      </c>
      <c r="I339" s="57">
        <v>5973</v>
      </c>
      <c r="J339" s="57">
        <v>5386</v>
      </c>
      <c r="K339" s="57">
        <v>4447</v>
      </c>
      <c r="L339" s="57">
        <v>5217</v>
      </c>
      <c r="M339" s="57">
        <v>3368</v>
      </c>
      <c r="N339" s="57">
        <v>5441</v>
      </c>
      <c r="O339" s="57">
        <v>6955</v>
      </c>
      <c r="P339" s="24">
        <f t="shared" si="80"/>
        <v>71036</v>
      </c>
      <c r="Q339"/>
    </row>
    <row r="340" spans="1:17" ht="12.75" hidden="1" customHeight="1" x14ac:dyDescent="0.25">
      <c r="B340" s="417"/>
      <c r="C340" s="130" t="s">
        <v>46</v>
      </c>
      <c r="D340" s="57">
        <v>0</v>
      </c>
      <c r="E340" s="57">
        <v>1</v>
      </c>
      <c r="F340" s="57">
        <v>0</v>
      </c>
      <c r="G340" s="57">
        <v>0</v>
      </c>
      <c r="H340" s="57">
        <v>0</v>
      </c>
      <c r="I340" s="57">
        <v>0</v>
      </c>
      <c r="J340" s="57">
        <v>0</v>
      </c>
      <c r="K340" s="57">
        <v>0</v>
      </c>
      <c r="L340" s="57">
        <v>0</v>
      </c>
      <c r="M340" s="57">
        <v>0</v>
      </c>
      <c r="N340" s="57">
        <v>0</v>
      </c>
      <c r="O340" s="57">
        <v>0</v>
      </c>
      <c r="P340" s="21">
        <f t="shared" si="80"/>
        <v>1</v>
      </c>
      <c r="Q340"/>
    </row>
    <row r="341" spans="1:17" ht="12.75" hidden="1" customHeight="1" x14ac:dyDescent="0.25">
      <c r="B341" s="417"/>
      <c r="C341" s="131" t="s">
        <v>3</v>
      </c>
      <c r="D341" s="22">
        <v>1</v>
      </c>
      <c r="E341" s="23">
        <v>0</v>
      </c>
      <c r="F341" s="22">
        <v>0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5">
        <v>0</v>
      </c>
      <c r="M341" s="23">
        <v>0</v>
      </c>
      <c r="N341" s="23">
        <v>0</v>
      </c>
      <c r="O341" s="23">
        <v>0</v>
      </c>
      <c r="P341" s="59">
        <f t="shared" si="80"/>
        <v>1</v>
      </c>
      <c r="Q341"/>
    </row>
    <row r="342" spans="1:17" ht="12.75" hidden="1" customHeight="1" x14ac:dyDescent="0.25">
      <c r="B342" s="417"/>
      <c r="C342" s="132" t="s">
        <v>21</v>
      </c>
      <c r="D342" s="56">
        <v>3612</v>
      </c>
      <c r="E342" s="56">
        <v>4186</v>
      </c>
      <c r="F342" s="56">
        <v>6233</v>
      </c>
      <c r="G342" s="56">
        <v>7068</v>
      </c>
      <c r="H342" s="56">
        <v>5131</v>
      </c>
      <c r="I342" s="56">
        <v>6127</v>
      </c>
      <c r="J342" s="56">
        <v>3712</v>
      </c>
      <c r="K342" s="56">
        <v>4686</v>
      </c>
      <c r="L342" s="56">
        <v>5003</v>
      </c>
      <c r="M342" s="56">
        <v>6136</v>
      </c>
      <c r="N342" s="56">
        <v>5179</v>
      </c>
      <c r="O342" s="56">
        <v>6036</v>
      </c>
      <c r="P342" s="59">
        <f t="shared" si="80"/>
        <v>63109</v>
      </c>
      <c r="Q342"/>
    </row>
    <row r="343" spans="1:17" ht="12.75" hidden="1" customHeight="1" x14ac:dyDescent="0.25">
      <c r="B343" s="417"/>
      <c r="C343" s="132" t="s">
        <v>23</v>
      </c>
      <c r="D343" s="55">
        <v>8081</v>
      </c>
      <c r="E343" s="55">
        <v>8563</v>
      </c>
      <c r="F343" s="55">
        <v>9217</v>
      </c>
      <c r="G343" s="55">
        <v>9684</v>
      </c>
      <c r="H343" s="55">
        <v>7802</v>
      </c>
      <c r="I343" s="55">
        <v>9483</v>
      </c>
      <c r="J343" s="55">
        <v>5247</v>
      </c>
      <c r="K343" s="55">
        <v>3685</v>
      </c>
      <c r="L343" s="55">
        <v>3216</v>
      </c>
      <c r="M343" s="55">
        <v>9448</v>
      </c>
      <c r="N343" s="55">
        <v>6918</v>
      </c>
      <c r="O343" s="55">
        <v>7740</v>
      </c>
      <c r="P343" s="59">
        <f t="shared" si="80"/>
        <v>89084</v>
      </c>
      <c r="Q343"/>
    </row>
    <row r="344" spans="1:17" ht="12.75" hidden="1" customHeight="1" thickBot="1" x14ac:dyDescent="0.3">
      <c r="B344" s="418"/>
      <c r="C344" s="133" t="s">
        <v>0</v>
      </c>
      <c r="D344" s="32">
        <f t="shared" ref="D344:P344" si="81">SUM(D338:D343)</f>
        <v>18291</v>
      </c>
      <c r="E344" s="32">
        <f t="shared" si="81"/>
        <v>17915</v>
      </c>
      <c r="F344" s="32">
        <f t="shared" si="81"/>
        <v>23982</v>
      </c>
      <c r="G344" s="32">
        <f t="shared" si="81"/>
        <v>24216</v>
      </c>
      <c r="H344" s="32">
        <f t="shared" si="81"/>
        <v>19723</v>
      </c>
      <c r="I344" s="32">
        <f t="shared" si="81"/>
        <v>21630</v>
      </c>
      <c r="J344" s="32">
        <f t="shared" si="81"/>
        <v>14374</v>
      </c>
      <c r="K344" s="32">
        <f t="shared" si="81"/>
        <v>12840</v>
      </c>
      <c r="L344" s="32">
        <f t="shared" si="81"/>
        <v>13477</v>
      </c>
      <c r="M344" s="32">
        <f t="shared" si="81"/>
        <v>18978</v>
      </c>
      <c r="N344" s="32">
        <f>SUM(N338:N343)</f>
        <v>17551</v>
      </c>
      <c r="O344" s="32">
        <f t="shared" si="81"/>
        <v>20764</v>
      </c>
      <c r="P344" s="33">
        <f t="shared" si="81"/>
        <v>223741</v>
      </c>
      <c r="Q344"/>
    </row>
    <row r="345" spans="1:17" ht="12.75" hidden="1" customHeight="1" x14ac:dyDescent="0.25">
      <c r="B345" s="426" t="s">
        <v>36</v>
      </c>
      <c r="C345" s="129" t="s">
        <v>131</v>
      </c>
      <c r="D345" s="28">
        <v>0</v>
      </c>
      <c r="E345" s="29">
        <v>0</v>
      </c>
      <c r="F345" s="29">
        <v>0</v>
      </c>
      <c r="G345" s="29">
        <v>0</v>
      </c>
      <c r="H345" s="29">
        <v>0</v>
      </c>
      <c r="I345" s="29">
        <v>0</v>
      </c>
      <c r="J345" s="29">
        <v>0</v>
      </c>
      <c r="K345" s="29">
        <v>0</v>
      </c>
      <c r="L345" s="29">
        <v>208</v>
      </c>
      <c r="M345" s="29">
        <v>2506</v>
      </c>
      <c r="N345" s="29">
        <v>3965</v>
      </c>
      <c r="O345" s="29">
        <v>4127</v>
      </c>
      <c r="P345" s="24">
        <f>SUM(D345:O345)</f>
        <v>10806</v>
      </c>
      <c r="Q345"/>
    </row>
    <row r="346" spans="1:17" ht="12.75" hidden="1" customHeight="1" x14ac:dyDescent="0.25">
      <c r="B346" s="427"/>
      <c r="C346" s="131" t="s">
        <v>86</v>
      </c>
      <c r="D346" s="22">
        <v>1069</v>
      </c>
      <c r="E346" s="23">
        <v>1099</v>
      </c>
      <c r="F346" s="23">
        <v>1441</v>
      </c>
      <c r="G346" s="23">
        <v>1224</v>
      </c>
      <c r="H346" s="23">
        <v>1001</v>
      </c>
      <c r="I346" s="23">
        <v>1418</v>
      </c>
      <c r="J346" s="23">
        <v>754</v>
      </c>
      <c r="K346" s="23">
        <v>965</v>
      </c>
      <c r="L346" s="23">
        <v>1163</v>
      </c>
      <c r="M346" s="23">
        <v>1003</v>
      </c>
      <c r="N346" s="23">
        <v>1194</v>
      </c>
      <c r="O346" s="23">
        <v>1165</v>
      </c>
      <c r="P346" s="24">
        <f>SUM(D346:O346)</f>
        <v>13496</v>
      </c>
      <c r="Q346"/>
    </row>
    <row r="347" spans="1:17" ht="12.75" hidden="1" customHeight="1" x14ac:dyDescent="0.25">
      <c r="B347" s="427"/>
      <c r="C347" s="134" t="s">
        <v>63</v>
      </c>
      <c r="D347" s="19">
        <v>1196</v>
      </c>
      <c r="E347" s="20">
        <v>1266</v>
      </c>
      <c r="F347" s="20">
        <v>2175</v>
      </c>
      <c r="G347" s="20">
        <v>1494</v>
      </c>
      <c r="H347" s="20">
        <v>798</v>
      </c>
      <c r="I347" s="20">
        <v>639</v>
      </c>
      <c r="J347" s="20">
        <v>699</v>
      </c>
      <c r="K347" s="20">
        <v>882</v>
      </c>
      <c r="L347" s="20">
        <v>347</v>
      </c>
      <c r="M347" s="20">
        <v>975</v>
      </c>
      <c r="N347" s="20">
        <v>595</v>
      </c>
      <c r="O347" s="20">
        <v>1178</v>
      </c>
      <c r="P347" s="21">
        <f t="shared" ref="P347:P352" si="82">SUM(D347:O347)</f>
        <v>12244</v>
      </c>
      <c r="Q347"/>
    </row>
    <row r="348" spans="1:17" ht="12.75" hidden="1" customHeight="1" x14ac:dyDescent="0.25">
      <c r="A348"/>
      <c r="B348" s="427"/>
      <c r="C348" s="134" t="s">
        <v>43</v>
      </c>
      <c r="D348" s="19">
        <v>6733</v>
      </c>
      <c r="E348" s="20">
        <v>5869</v>
      </c>
      <c r="F348" s="20">
        <v>4985</v>
      </c>
      <c r="G348" s="20">
        <v>4478</v>
      </c>
      <c r="H348" s="20">
        <v>2988</v>
      </c>
      <c r="I348" s="20">
        <v>3338</v>
      </c>
      <c r="J348" s="20">
        <v>3972</v>
      </c>
      <c r="K348" s="20">
        <v>3821</v>
      </c>
      <c r="L348" s="20">
        <v>2093</v>
      </c>
      <c r="M348" s="20">
        <v>2911</v>
      </c>
      <c r="N348" s="20">
        <v>3861</v>
      </c>
      <c r="O348" s="20">
        <v>3327</v>
      </c>
      <c r="P348" s="21">
        <f t="shared" si="82"/>
        <v>48376</v>
      </c>
      <c r="Q348"/>
    </row>
    <row r="349" spans="1:17" ht="12.75" hidden="1" customHeight="1" x14ac:dyDescent="0.25">
      <c r="A349"/>
      <c r="B349" s="427"/>
      <c r="C349" s="134" t="s">
        <v>118</v>
      </c>
      <c r="D349" s="19">
        <v>0</v>
      </c>
      <c r="E349" s="20">
        <v>0</v>
      </c>
      <c r="F349" s="20">
        <v>0</v>
      </c>
      <c r="G349" s="20">
        <v>114</v>
      </c>
      <c r="H349" s="20">
        <v>1919</v>
      </c>
      <c r="I349" s="20">
        <v>3667</v>
      </c>
      <c r="J349" s="20">
        <v>3447</v>
      </c>
      <c r="K349" s="20">
        <v>3337</v>
      </c>
      <c r="L349" s="20">
        <v>2983</v>
      </c>
      <c r="M349" s="20">
        <v>3783</v>
      </c>
      <c r="N349" s="20">
        <v>2228</v>
      </c>
      <c r="O349" s="20">
        <v>1193</v>
      </c>
      <c r="P349" s="24">
        <f t="shared" si="82"/>
        <v>22671</v>
      </c>
      <c r="Q349"/>
    </row>
    <row r="350" spans="1:17" ht="12.75" hidden="1" customHeight="1" x14ac:dyDescent="0.25">
      <c r="A350"/>
      <c r="B350" s="427"/>
      <c r="C350" s="134" t="s">
        <v>73</v>
      </c>
      <c r="D350" s="19">
        <v>142</v>
      </c>
      <c r="E350" s="20">
        <v>568</v>
      </c>
      <c r="F350" s="20">
        <v>934</v>
      </c>
      <c r="G350" s="20">
        <v>1265</v>
      </c>
      <c r="H350" s="20">
        <v>756</v>
      </c>
      <c r="I350" s="20">
        <v>751</v>
      </c>
      <c r="J350" s="20">
        <v>490</v>
      </c>
      <c r="K350" s="20">
        <v>556</v>
      </c>
      <c r="L350" s="20">
        <v>939</v>
      </c>
      <c r="M350" s="20">
        <v>940</v>
      </c>
      <c r="N350" s="20">
        <v>865</v>
      </c>
      <c r="O350" s="20">
        <v>296</v>
      </c>
      <c r="P350" s="148">
        <f t="shared" si="82"/>
        <v>8502</v>
      </c>
      <c r="Q350"/>
    </row>
    <row r="351" spans="1:17" ht="12.75" hidden="1" customHeight="1" x14ac:dyDescent="0.25">
      <c r="A351"/>
      <c r="B351" s="427"/>
      <c r="C351" s="131" t="s">
        <v>5</v>
      </c>
      <c r="D351" s="22">
        <v>4313</v>
      </c>
      <c r="E351" s="23">
        <v>2781</v>
      </c>
      <c r="F351" s="23">
        <v>4274</v>
      </c>
      <c r="G351" s="23">
        <v>4096</v>
      </c>
      <c r="H351" s="23">
        <v>3479</v>
      </c>
      <c r="I351" s="23">
        <v>2780</v>
      </c>
      <c r="J351" s="23">
        <v>4452</v>
      </c>
      <c r="K351" s="23">
        <v>3322</v>
      </c>
      <c r="L351" s="23">
        <v>2189</v>
      </c>
      <c r="M351" s="23">
        <v>3494</v>
      </c>
      <c r="N351" s="23">
        <v>2895</v>
      </c>
      <c r="O351" s="23">
        <v>3525</v>
      </c>
      <c r="P351" s="59">
        <f t="shared" si="82"/>
        <v>41600</v>
      </c>
      <c r="Q351"/>
    </row>
    <row r="352" spans="1:17" ht="12.75" hidden="1" customHeight="1" x14ac:dyDescent="0.25">
      <c r="A352"/>
      <c r="B352" s="427"/>
      <c r="C352" s="131" t="s">
        <v>82</v>
      </c>
      <c r="D352" s="22">
        <v>3818</v>
      </c>
      <c r="E352" s="23">
        <v>4045</v>
      </c>
      <c r="F352" s="23">
        <v>5897</v>
      </c>
      <c r="G352" s="23">
        <v>5777</v>
      </c>
      <c r="H352" s="23">
        <v>5040</v>
      </c>
      <c r="I352" s="23">
        <v>4964</v>
      </c>
      <c r="J352" s="23">
        <v>4695</v>
      </c>
      <c r="K352" s="23">
        <v>4011</v>
      </c>
      <c r="L352" s="23">
        <v>3290</v>
      </c>
      <c r="M352" s="23">
        <v>2582</v>
      </c>
      <c r="N352" s="23">
        <v>4503</v>
      </c>
      <c r="O352" s="23">
        <v>3716</v>
      </c>
      <c r="P352" s="24">
        <f t="shared" si="82"/>
        <v>52338</v>
      </c>
      <c r="Q352"/>
    </row>
    <row r="353" spans="1:17" ht="12.75" hidden="1" customHeight="1" thickBot="1" x14ac:dyDescent="0.3">
      <c r="A353"/>
      <c r="B353" s="428"/>
      <c r="C353" s="135" t="s">
        <v>0</v>
      </c>
      <c r="D353" s="26">
        <f t="shared" ref="D353:P353" si="83">SUM(D345:D352)</f>
        <v>17271</v>
      </c>
      <c r="E353" s="26">
        <f t="shared" si="83"/>
        <v>15628</v>
      </c>
      <c r="F353" s="26">
        <f t="shared" si="83"/>
        <v>19706</v>
      </c>
      <c r="G353" s="26">
        <f t="shared" si="83"/>
        <v>18448</v>
      </c>
      <c r="H353" s="26">
        <f t="shared" si="83"/>
        <v>15981</v>
      </c>
      <c r="I353" s="26">
        <f t="shared" si="83"/>
        <v>17557</v>
      </c>
      <c r="J353" s="26">
        <f t="shared" si="83"/>
        <v>18509</v>
      </c>
      <c r="K353" s="26">
        <f t="shared" si="83"/>
        <v>16894</v>
      </c>
      <c r="L353" s="26">
        <f t="shared" si="83"/>
        <v>13212</v>
      </c>
      <c r="M353" s="26">
        <f t="shared" si="83"/>
        <v>18194</v>
      </c>
      <c r="N353" s="26">
        <f t="shared" si="83"/>
        <v>20106</v>
      </c>
      <c r="O353" s="26">
        <f t="shared" si="83"/>
        <v>18527</v>
      </c>
      <c r="P353" s="27">
        <f t="shared" si="83"/>
        <v>210033</v>
      </c>
      <c r="Q353"/>
    </row>
    <row r="354" spans="1:17" ht="12.75" hidden="1" customHeight="1" x14ac:dyDescent="0.25">
      <c r="A354"/>
      <c r="B354" s="416" t="s">
        <v>6</v>
      </c>
      <c r="C354" s="129" t="s">
        <v>8</v>
      </c>
      <c r="D354" s="28">
        <v>2290</v>
      </c>
      <c r="E354" s="29">
        <v>1368</v>
      </c>
      <c r="F354" s="29">
        <v>1891</v>
      </c>
      <c r="G354" s="29">
        <v>1200</v>
      </c>
      <c r="H354" s="29">
        <v>344</v>
      </c>
      <c r="I354" s="29">
        <v>99</v>
      </c>
      <c r="J354" s="29">
        <v>0</v>
      </c>
      <c r="K354" s="29">
        <v>0</v>
      </c>
      <c r="L354" s="29">
        <v>0</v>
      </c>
      <c r="M354" s="29">
        <v>0</v>
      </c>
      <c r="N354" s="29">
        <v>0</v>
      </c>
      <c r="O354" s="29">
        <v>0</v>
      </c>
      <c r="P354" s="30">
        <f>SUM(D354:O354)</f>
        <v>7192</v>
      </c>
      <c r="Q354"/>
    </row>
    <row r="355" spans="1:17" ht="12.75" hidden="1" customHeight="1" x14ac:dyDescent="0.25">
      <c r="A355"/>
      <c r="B355" s="417"/>
      <c r="C355" s="134" t="s">
        <v>119</v>
      </c>
      <c r="D355" s="19">
        <v>0</v>
      </c>
      <c r="E355" s="20">
        <v>0</v>
      </c>
      <c r="F355" s="20">
        <v>0</v>
      </c>
      <c r="G355" s="20">
        <v>158</v>
      </c>
      <c r="H355" s="20">
        <v>3232</v>
      </c>
      <c r="I355" s="20">
        <v>4304</v>
      </c>
      <c r="J355" s="20">
        <v>4018</v>
      </c>
      <c r="K355" s="20">
        <v>3563</v>
      </c>
      <c r="L355" s="20">
        <v>2903</v>
      </c>
      <c r="M355" s="20">
        <v>2775</v>
      </c>
      <c r="N355" s="20">
        <v>3031</v>
      </c>
      <c r="O355" s="20">
        <v>2256</v>
      </c>
      <c r="P355" s="21">
        <f>SUM(D355:O355)</f>
        <v>26240</v>
      </c>
      <c r="Q355"/>
    </row>
    <row r="356" spans="1:17" ht="12.75" hidden="1" customHeight="1" x14ac:dyDescent="0.25">
      <c r="A356"/>
      <c r="B356" s="417"/>
      <c r="C356" s="134" t="s">
        <v>9</v>
      </c>
      <c r="D356" s="19">
        <v>7952</v>
      </c>
      <c r="E356" s="20">
        <v>7626</v>
      </c>
      <c r="F356" s="20">
        <v>11213</v>
      </c>
      <c r="G356" s="20">
        <v>9182</v>
      </c>
      <c r="H356" s="20">
        <v>6930</v>
      </c>
      <c r="I356" s="20">
        <v>9208</v>
      </c>
      <c r="J356" s="20">
        <v>8804</v>
      </c>
      <c r="K356" s="20">
        <v>7424</v>
      </c>
      <c r="L356" s="20">
        <v>4916</v>
      </c>
      <c r="M356" s="20">
        <v>4042</v>
      </c>
      <c r="N356" s="20">
        <v>7288</v>
      </c>
      <c r="O356" s="20">
        <v>7633</v>
      </c>
      <c r="P356" s="21">
        <f>SUM(D356:O356)</f>
        <v>92218</v>
      </c>
      <c r="Q356"/>
    </row>
    <row r="357" spans="1:17" ht="12.75" hidden="1" customHeight="1" thickBot="1" x14ac:dyDescent="0.3">
      <c r="A357"/>
      <c r="B357" s="418"/>
      <c r="C357" s="133" t="s">
        <v>0</v>
      </c>
      <c r="D357" s="32">
        <f t="shared" ref="D357:L357" si="84">SUM(D354:D356)</f>
        <v>10242</v>
      </c>
      <c r="E357" s="32">
        <f t="shared" si="84"/>
        <v>8994</v>
      </c>
      <c r="F357" s="32">
        <f t="shared" si="84"/>
        <v>13104</v>
      </c>
      <c r="G357" s="32">
        <f t="shared" si="84"/>
        <v>10540</v>
      </c>
      <c r="H357" s="32">
        <f t="shared" si="84"/>
        <v>10506</v>
      </c>
      <c r="I357" s="32">
        <f t="shared" si="84"/>
        <v>13611</v>
      </c>
      <c r="J357" s="32">
        <f t="shared" si="84"/>
        <v>12822</v>
      </c>
      <c r="K357" s="32">
        <f t="shared" si="84"/>
        <v>10987</v>
      </c>
      <c r="L357" s="32">
        <f t="shared" si="84"/>
        <v>7819</v>
      </c>
      <c r="M357" s="32">
        <f>SUM(M354:M356)</f>
        <v>6817</v>
      </c>
      <c r="N357" s="32">
        <f>SUM(N354:N356)</f>
        <v>10319</v>
      </c>
      <c r="O357" s="32">
        <f>SUM(O354:O356)</f>
        <v>9889</v>
      </c>
      <c r="P357" s="33">
        <f>SUM(P354:P356)</f>
        <v>125650</v>
      </c>
      <c r="Q357"/>
    </row>
    <row r="358" spans="1:17" ht="12.75" hidden="1" customHeight="1" x14ac:dyDescent="0.25">
      <c r="A358"/>
      <c r="B358" s="416" t="s">
        <v>7</v>
      </c>
      <c r="C358" s="129" t="s">
        <v>10</v>
      </c>
      <c r="D358" s="28">
        <v>291</v>
      </c>
      <c r="E358" s="29">
        <v>475</v>
      </c>
      <c r="F358" s="29">
        <v>468</v>
      </c>
      <c r="G358" s="29">
        <v>557</v>
      </c>
      <c r="H358" s="29">
        <v>506</v>
      </c>
      <c r="I358" s="29">
        <f>211+46+177+70</f>
        <v>504</v>
      </c>
      <c r="J358" s="29">
        <v>381</v>
      </c>
      <c r="K358" s="29">
        <v>284</v>
      </c>
      <c r="L358" s="29">
        <v>367</v>
      </c>
      <c r="M358" s="29">
        <v>505</v>
      </c>
      <c r="N358" s="29">
        <v>572</v>
      </c>
      <c r="O358" s="29">
        <v>480</v>
      </c>
      <c r="P358" s="30">
        <f>SUM(D358:O358)</f>
        <v>5390</v>
      </c>
      <c r="Q358"/>
    </row>
    <row r="359" spans="1:17" ht="12.75" hidden="1" customHeight="1" x14ac:dyDescent="0.25">
      <c r="A359"/>
      <c r="B359" s="417"/>
      <c r="C359" s="134" t="s">
        <v>11</v>
      </c>
      <c r="D359" s="19">
        <v>1909</v>
      </c>
      <c r="E359" s="20">
        <v>1769</v>
      </c>
      <c r="F359" s="20">
        <v>2484</v>
      </c>
      <c r="G359" s="20">
        <v>2568</v>
      </c>
      <c r="H359" s="20">
        <v>2309</v>
      </c>
      <c r="I359" s="20">
        <f>916+440+400+444</f>
        <v>2200</v>
      </c>
      <c r="J359" s="20">
        <v>1820</v>
      </c>
      <c r="K359" s="20">
        <v>1722</v>
      </c>
      <c r="L359" s="20">
        <v>1349</v>
      </c>
      <c r="M359" s="20">
        <v>1791</v>
      </c>
      <c r="N359" s="20">
        <v>1767</v>
      </c>
      <c r="O359" s="20">
        <v>1580</v>
      </c>
      <c r="P359" s="21">
        <f>SUM(D359:O359)</f>
        <v>23268</v>
      </c>
      <c r="Q359"/>
    </row>
    <row r="360" spans="1:17" ht="12.75" hidden="1" customHeight="1" thickBot="1" x14ac:dyDescent="0.3">
      <c r="A360"/>
      <c r="B360" s="418"/>
      <c r="C360" s="133" t="s">
        <v>0</v>
      </c>
      <c r="D360" s="32">
        <f t="shared" ref="D360:I360" si="85">SUM(D358:D359)</f>
        <v>2200</v>
      </c>
      <c r="E360" s="32">
        <f t="shared" si="85"/>
        <v>2244</v>
      </c>
      <c r="F360" s="32">
        <f t="shared" si="85"/>
        <v>2952</v>
      </c>
      <c r="G360" s="32">
        <f t="shared" si="85"/>
        <v>3125</v>
      </c>
      <c r="H360" s="32">
        <f t="shared" si="85"/>
        <v>2815</v>
      </c>
      <c r="I360" s="32">
        <f t="shared" si="85"/>
        <v>2704</v>
      </c>
      <c r="J360" s="32">
        <f>SUM(J358:J359)</f>
        <v>2201</v>
      </c>
      <c r="K360" s="32">
        <f t="shared" ref="K360:P360" si="86">SUM(K358:K359)</f>
        <v>2006</v>
      </c>
      <c r="L360" s="32">
        <f t="shared" si="86"/>
        <v>1716</v>
      </c>
      <c r="M360" s="32">
        <f t="shared" si="86"/>
        <v>2296</v>
      </c>
      <c r="N360" s="32">
        <f t="shared" si="86"/>
        <v>2339</v>
      </c>
      <c r="O360" s="32">
        <f t="shared" si="86"/>
        <v>2060</v>
      </c>
      <c r="P360" s="33">
        <f t="shared" si="86"/>
        <v>28658</v>
      </c>
      <c r="Q360"/>
    </row>
    <row r="361" spans="1:17" ht="12.75" hidden="1" customHeight="1" x14ac:dyDescent="0.25">
      <c r="A361"/>
      <c r="B361" s="429" t="s">
        <v>4</v>
      </c>
      <c r="C361" s="129" t="s">
        <v>65</v>
      </c>
      <c r="D361" s="110">
        <v>1001</v>
      </c>
      <c r="E361" s="110">
        <v>297</v>
      </c>
      <c r="F361" s="110">
        <v>654</v>
      </c>
      <c r="G361" s="110">
        <v>625</v>
      </c>
      <c r="H361" s="110">
        <v>918</v>
      </c>
      <c r="I361" s="110">
        <v>942</v>
      </c>
      <c r="J361" s="110">
        <v>616</v>
      </c>
      <c r="K361" s="110">
        <v>580</v>
      </c>
      <c r="L361" s="110">
        <v>385</v>
      </c>
      <c r="M361" s="110">
        <v>372</v>
      </c>
      <c r="N361" s="110">
        <v>552</v>
      </c>
      <c r="O361" s="110">
        <v>487</v>
      </c>
      <c r="P361" s="111">
        <f t="shared" ref="P361:P366" si="87">SUM(D361:O361)</f>
        <v>7429</v>
      </c>
      <c r="Q361"/>
    </row>
    <row r="362" spans="1:17" ht="12.75" hidden="1" customHeight="1" x14ac:dyDescent="0.25">
      <c r="A362"/>
      <c r="B362" s="430"/>
      <c r="C362" s="136" t="s">
        <v>67</v>
      </c>
      <c r="D362" s="99">
        <v>5650</v>
      </c>
      <c r="E362" s="99">
        <v>2714</v>
      </c>
      <c r="F362" s="99">
        <v>5252</v>
      </c>
      <c r="G362" s="99">
        <v>6009</v>
      </c>
      <c r="H362" s="99">
        <v>5584</v>
      </c>
      <c r="I362" s="99">
        <v>5357</v>
      </c>
      <c r="J362" s="99">
        <v>5028</v>
      </c>
      <c r="K362" s="99">
        <v>3718</v>
      </c>
      <c r="L362" s="99">
        <v>3892</v>
      </c>
      <c r="M362" s="99">
        <v>6119</v>
      </c>
      <c r="N362" s="99">
        <v>3946</v>
      </c>
      <c r="O362" s="99">
        <v>6194</v>
      </c>
      <c r="P362" s="100">
        <f t="shared" si="87"/>
        <v>59463</v>
      </c>
      <c r="Q362"/>
    </row>
    <row r="363" spans="1:17" ht="12.75" hidden="1" customHeight="1" x14ac:dyDescent="0.25">
      <c r="A363"/>
      <c r="B363" s="430"/>
      <c r="C363" s="131" t="s">
        <v>80</v>
      </c>
      <c r="D363" s="22">
        <v>594</v>
      </c>
      <c r="E363" s="23">
        <v>434</v>
      </c>
      <c r="F363" s="23">
        <v>597</v>
      </c>
      <c r="G363" s="23">
        <v>774</v>
      </c>
      <c r="H363" s="23">
        <v>662</v>
      </c>
      <c r="I363" s="23">
        <v>398</v>
      </c>
      <c r="J363" s="23">
        <v>355</v>
      </c>
      <c r="K363" s="23">
        <v>203</v>
      </c>
      <c r="L363" s="23">
        <v>261</v>
      </c>
      <c r="M363" s="23">
        <v>270</v>
      </c>
      <c r="N363" s="23">
        <v>240</v>
      </c>
      <c r="O363" s="23">
        <v>301</v>
      </c>
      <c r="P363" s="24">
        <f t="shared" si="87"/>
        <v>5089</v>
      </c>
      <c r="Q363"/>
    </row>
    <row r="364" spans="1:17" ht="12.75" hidden="1" customHeight="1" x14ac:dyDescent="0.25">
      <c r="A364"/>
      <c r="B364" s="430"/>
      <c r="C364" s="131" t="s">
        <v>134</v>
      </c>
      <c r="D364" s="22">
        <v>0</v>
      </c>
      <c r="E364" s="23">
        <v>0</v>
      </c>
      <c r="F364" s="23">
        <v>0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47</v>
      </c>
      <c r="N364" s="23">
        <v>406</v>
      </c>
      <c r="O364" s="23">
        <v>737</v>
      </c>
      <c r="P364" s="24">
        <f t="shared" si="87"/>
        <v>1190</v>
      </c>
      <c r="Q364"/>
    </row>
    <row r="365" spans="1:17" ht="12.75" hidden="1" customHeight="1" x14ac:dyDescent="0.25">
      <c r="A365"/>
      <c r="B365" s="430"/>
      <c r="C365" s="131" t="s">
        <v>110</v>
      </c>
      <c r="D365" s="22">
        <v>2287</v>
      </c>
      <c r="E365" s="23">
        <v>2686</v>
      </c>
      <c r="F365" s="23">
        <v>5093</v>
      </c>
      <c r="G365" s="23">
        <v>4161</v>
      </c>
      <c r="H365" s="23">
        <v>4336</v>
      </c>
      <c r="I365" s="23">
        <v>4138</v>
      </c>
      <c r="J365" s="23">
        <v>3792</v>
      </c>
      <c r="K365" s="23">
        <v>2575</v>
      </c>
      <c r="L365" s="23">
        <v>1805</v>
      </c>
      <c r="M365" s="23">
        <v>2892</v>
      </c>
      <c r="N365" s="23">
        <v>3379</v>
      </c>
      <c r="O365" s="23">
        <v>3850</v>
      </c>
      <c r="P365" s="24">
        <f t="shared" si="87"/>
        <v>40994</v>
      </c>
      <c r="Q365"/>
    </row>
    <row r="366" spans="1:17" ht="12.75" hidden="1" customHeight="1" x14ac:dyDescent="0.25">
      <c r="A366"/>
      <c r="B366" s="430"/>
      <c r="C366" s="131" t="s">
        <v>97</v>
      </c>
      <c r="D366" s="22">
        <v>1965</v>
      </c>
      <c r="E366" s="23">
        <v>1190</v>
      </c>
      <c r="F366" s="23">
        <v>2470</v>
      </c>
      <c r="G366" s="23">
        <v>2321</v>
      </c>
      <c r="H366" s="23">
        <v>1531</v>
      </c>
      <c r="I366" s="23">
        <v>2070</v>
      </c>
      <c r="J366" s="23">
        <v>2159</v>
      </c>
      <c r="K366" s="23">
        <v>1231</v>
      </c>
      <c r="L366" s="23">
        <v>1290</v>
      </c>
      <c r="M366" s="23">
        <v>1828</v>
      </c>
      <c r="N366" s="23">
        <v>3233</v>
      </c>
      <c r="O366" s="23">
        <v>3303</v>
      </c>
      <c r="P366" s="24">
        <f t="shared" si="87"/>
        <v>24591</v>
      </c>
      <c r="Q366"/>
    </row>
    <row r="367" spans="1:17" ht="12.75" hidden="1" customHeight="1" thickBot="1" x14ac:dyDescent="0.3">
      <c r="A367"/>
      <c r="B367" s="431"/>
      <c r="C367" s="31" t="s">
        <v>0</v>
      </c>
      <c r="D367" s="32">
        <f>SUM(D361:D366)</f>
        <v>11497</v>
      </c>
      <c r="E367" s="32">
        <f t="shared" ref="E367:P367" si="88">SUM(E361:E366)</f>
        <v>7321</v>
      </c>
      <c r="F367" s="32">
        <f t="shared" si="88"/>
        <v>14066</v>
      </c>
      <c r="G367" s="32">
        <f t="shared" si="88"/>
        <v>13890</v>
      </c>
      <c r="H367" s="32">
        <f t="shared" si="88"/>
        <v>13031</v>
      </c>
      <c r="I367" s="32">
        <f t="shared" si="88"/>
        <v>12905</v>
      </c>
      <c r="J367" s="32">
        <f t="shared" si="88"/>
        <v>11950</v>
      </c>
      <c r="K367" s="32">
        <f t="shared" si="88"/>
        <v>8307</v>
      </c>
      <c r="L367" s="32">
        <f t="shared" si="88"/>
        <v>7633</v>
      </c>
      <c r="M367" s="32">
        <f t="shared" si="88"/>
        <v>11528</v>
      </c>
      <c r="N367" s="32">
        <f t="shared" si="88"/>
        <v>11756</v>
      </c>
      <c r="O367" s="32">
        <f t="shared" si="88"/>
        <v>14872</v>
      </c>
      <c r="P367" s="32">
        <f t="shared" si="88"/>
        <v>138756</v>
      </c>
      <c r="Q367"/>
    </row>
    <row r="368" spans="1:17" ht="12.75" hidden="1" customHeight="1" thickBot="1" x14ac:dyDescent="0.3">
      <c r="A368"/>
      <c r="B368" s="419" t="s">
        <v>2</v>
      </c>
      <c r="C368" s="420"/>
      <c r="D368" s="34">
        <f t="shared" ref="D368:O368" si="89">D344+D353+D360+D357+D367</f>
        <v>59501</v>
      </c>
      <c r="E368" s="34">
        <f t="shared" si="89"/>
        <v>52102</v>
      </c>
      <c r="F368" s="34">
        <f t="shared" si="89"/>
        <v>73810</v>
      </c>
      <c r="G368" s="34">
        <f t="shared" si="89"/>
        <v>70219</v>
      </c>
      <c r="H368" s="34">
        <f t="shared" si="89"/>
        <v>62056</v>
      </c>
      <c r="I368" s="34">
        <f t="shared" si="89"/>
        <v>68407</v>
      </c>
      <c r="J368" s="34">
        <f t="shared" si="89"/>
        <v>59856</v>
      </c>
      <c r="K368" s="34">
        <f t="shared" si="89"/>
        <v>51034</v>
      </c>
      <c r="L368" s="34">
        <f t="shared" si="89"/>
        <v>43857</v>
      </c>
      <c r="M368" s="34">
        <f t="shared" si="89"/>
        <v>57813</v>
      </c>
      <c r="N368" s="34">
        <f t="shared" si="89"/>
        <v>62071</v>
      </c>
      <c r="O368" s="34">
        <f t="shared" si="89"/>
        <v>66112</v>
      </c>
      <c r="P368" s="34">
        <f>SUM(P344,P353,P367,P357,P360)</f>
        <v>726838</v>
      </c>
      <c r="Q368"/>
    </row>
    <row r="369" spans="1:18" ht="4.5" hidden="1" customHeight="1" x14ac:dyDescent="0.25">
      <c r="A369"/>
      <c r="J369" s="92"/>
      <c r="Q369"/>
    </row>
    <row r="370" spans="1:18" ht="9.65" hidden="1" customHeight="1" x14ac:dyDescent="0.25">
      <c r="A370"/>
      <c r="B370" s="63" t="s">
        <v>20</v>
      </c>
      <c r="C370" s="64"/>
      <c r="D370" s="65">
        <f t="shared" ref="D370:I370" si="90">SUM(D371:D372)</f>
        <v>6552</v>
      </c>
      <c r="E370" s="65">
        <f t="shared" si="90"/>
        <v>5124</v>
      </c>
      <c r="F370" s="65">
        <f t="shared" si="90"/>
        <v>8454</v>
      </c>
      <c r="G370" s="65">
        <f t="shared" si="90"/>
        <v>7422</v>
      </c>
      <c r="H370" s="65">
        <f t="shared" si="90"/>
        <v>6697</v>
      </c>
      <c r="I370" s="65">
        <f t="shared" si="90"/>
        <v>5973</v>
      </c>
      <c r="J370" s="65">
        <f>SUM(J371:J372,J373)</f>
        <v>5386</v>
      </c>
      <c r="K370" s="65">
        <f>SUM(K371:K373)</f>
        <v>4447</v>
      </c>
      <c r="L370" s="65">
        <f>SUM(L371:L373)</f>
        <v>5217</v>
      </c>
      <c r="M370" s="65">
        <f>SUM(M371:M373)</f>
        <v>3368</v>
      </c>
      <c r="N370" s="65">
        <f>SUM(N371:N373)</f>
        <v>5441</v>
      </c>
      <c r="O370" s="65">
        <f>SUM(O371:O373)</f>
        <v>6955</v>
      </c>
      <c r="P370" s="66">
        <f>SUM(D370:O370)</f>
        <v>71036</v>
      </c>
      <c r="R370" s="206"/>
    </row>
    <row r="371" spans="1:18" ht="9.75" hidden="1" customHeight="1" x14ac:dyDescent="0.25">
      <c r="A371"/>
      <c r="B371" s="67"/>
      <c r="C371" s="68" t="s">
        <v>102</v>
      </c>
      <c r="D371" s="79">
        <v>6104</v>
      </c>
      <c r="E371" s="79">
        <v>4725</v>
      </c>
      <c r="F371" s="69">
        <v>7681</v>
      </c>
      <c r="G371" s="80">
        <v>6666</v>
      </c>
      <c r="H371" s="69">
        <v>6168</v>
      </c>
      <c r="I371" s="77">
        <v>5167</v>
      </c>
      <c r="J371" s="78">
        <v>4692</v>
      </c>
      <c r="K371" s="72">
        <v>3950</v>
      </c>
      <c r="L371" s="72">
        <v>4352</v>
      </c>
      <c r="M371" s="72">
        <v>2978</v>
      </c>
      <c r="N371" s="72">
        <v>4847</v>
      </c>
      <c r="O371" s="72">
        <v>5969</v>
      </c>
      <c r="P371" s="70">
        <f>SUM(D371:O371)</f>
        <v>63299</v>
      </c>
    </row>
    <row r="372" spans="1:18" ht="9.75" hidden="1" customHeight="1" x14ac:dyDescent="0.25">
      <c r="A372"/>
      <c r="B372" s="67"/>
      <c r="C372" s="68" t="s">
        <v>103</v>
      </c>
      <c r="D372" s="69">
        <v>448</v>
      </c>
      <c r="E372" s="69">
        <v>399</v>
      </c>
      <c r="F372" s="69">
        <v>773</v>
      </c>
      <c r="G372" s="69">
        <v>756</v>
      </c>
      <c r="H372" s="69">
        <v>529</v>
      </c>
      <c r="I372" s="69">
        <v>806</v>
      </c>
      <c r="J372" s="69">
        <v>665</v>
      </c>
      <c r="K372" s="69">
        <v>385</v>
      </c>
      <c r="L372" s="69">
        <v>325</v>
      </c>
      <c r="M372" s="69">
        <v>227</v>
      </c>
      <c r="N372" s="69">
        <v>501</v>
      </c>
      <c r="O372" s="69">
        <v>798</v>
      </c>
      <c r="P372" s="70">
        <f>SUM(D372:O372)</f>
        <v>6612</v>
      </c>
    </row>
    <row r="373" spans="1:18" ht="9.75" hidden="1" customHeight="1" x14ac:dyDescent="0.25">
      <c r="A373"/>
      <c r="B373" s="71"/>
      <c r="C373" s="68" t="s">
        <v>124</v>
      </c>
      <c r="D373" s="69">
        <v>0</v>
      </c>
      <c r="E373" s="69">
        <v>0</v>
      </c>
      <c r="F373" s="69">
        <v>0</v>
      </c>
      <c r="G373" s="69">
        <v>0</v>
      </c>
      <c r="H373" s="69">
        <v>0</v>
      </c>
      <c r="I373" s="69">
        <v>0</v>
      </c>
      <c r="J373" s="69">
        <v>29</v>
      </c>
      <c r="K373" s="69">
        <v>112</v>
      </c>
      <c r="L373" s="69">
        <v>540</v>
      </c>
      <c r="M373" s="69">
        <v>163</v>
      </c>
      <c r="N373" s="69">
        <v>93</v>
      </c>
      <c r="O373" s="69">
        <v>188</v>
      </c>
      <c r="P373" s="70">
        <f>SUM(D373:O373)</f>
        <v>1125</v>
      </c>
    </row>
    <row r="374" spans="1:18" ht="4.5" hidden="1" customHeight="1" x14ac:dyDescent="0.25">
      <c r="A374"/>
      <c r="J374" s="92"/>
      <c r="Q374"/>
    </row>
    <row r="375" spans="1:18" ht="10.25" hidden="1" customHeight="1" x14ac:dyDescent="0.25">
      <c r="A375"/>
      <c r="B375" s="73" t="s">
        <v>21</v>
      </c>
      <c r="C375" s="74"/>
      <c r="D375" s="65">
        <f t="shared" ref="D375:O375" si="91">SUM(D376:D378)</f>
        <v>3612</v>
      </c>
      <c r="E375" s="65">
        <f t="shared" si="91"/>
        <v>4186</v>
      </c>
      <c r="F375" s="65">
        <f t="shared" si="91"/>
        <v>6233</v>
      </c>
      <c r="G375" s="65">
        <f t="shared" si="91"/>
        <v>7068</v>
      </c>
      <c r="H375" s="65">
        <f t="shared" si="91"/>
        <v>5131</v>
      </c>
      <c r="I375" s="65">
        <f t="shared" si="91"/>
        <v>6127</v>
      </c>
      <c r="J375" s="65">
        <f t="shared" si="91"/>
        <v>3712</v>
      </c>
      <c r="K375" s="65">
        <f t="shared" si="91"/>
        <v>4686</v>
      </c>
      <c r="L375" s="65">
        <f t="shared" si="91"/>
        <v>5003</v>
      </c>
      <c r="M375" s="65">
        <f t="shared" si="91"/>
        <v>6136</v>
      </c>
      <c r="N375" s="65">
        <f t="shared" si="91"/>
        <v>5179</v>
      </c>
      <c r="O375" s="65">
        <f t="shared" si="91"/>
        <v>6036</v>
      </c>
      <c r="P375" s="65">
        <f>SUM(D375:O375)</f>
        <v>63109</v>
      </c>
    </row>
    <row r="376" spans="1:18" ht="9.9" hidden="1" customHeight="1" x14ac:dyDescent="0.25">
      <c r="A376"/>
      <c r="B376" s="67"/>
      <c r="C376" s="68" t="s">
        <v>40</v>
      </c>
      <c r="D376" s="93">
        <v>1118</v>
      </c>
      <c r="E376" s="93">
        <v>1254</v>
      </c>
      <c r="F376" s="93">
        <v>2006</v>
      </c>
      <c r="G376" s="69">
        <v>1928</v>
      </c>
      <c r="H376" s="69">
        <v>1078</v>
      </c>
      <c r="I376" s="69">
        <v>2353</v>
      </c>
      <c r="J376" s="69">
        <v>827</v>
      </c>
      <c r="K376" s="69">
        <v>850</v>
      </c>
      <c r="L376" s="69">
        <v>1428</v>
      </c>
      <c r="M376" s="69">
        <v>2116</v>
      </c>
      <c r="N376" s="69">
        <v>330</v>
      </c>
      <c r="O376" s="69">
        <v>1988</v>
      </c>
      <c r="P376" s="70">
        <f>SUM(D376:O376)</f>
        <v>17276</v>
      </c>
    </row>
    <row r="377" spans="1:18" ht="9.9" hidden="1" customHeight="1" x14ac:dyDescent="0.25">
      <c r="A377"/>
      <c r="B377" s="67"/>
      <c r="C377" s="68" t="s">
        <v>85</v>
      </c>
      <c r="D377" s="69">
        <v>2114</v>
      </c>
      <c r="E377" s="69">
        <v>2316</v>
      </c>
      <c r="F377" s="69">
        <v>3806</v>
      </c>
      <c r="G377" s="69">
        <v>4598</v>
      </c>
      <c r="H377" s="69">
        <v>3538</v>
      </c>
      <c r="I377" s="69">
        <v>3112</v>
      </c>
      <c r="J377" s="69">
        <v>2348</v>
      </c>
      <c r="K377" s="69">
        <v>3173</v>
      </c>
      <c r="L377" s="69">
        <v>3063</v>
      </c>
      <c r="M377" s="69">
        <v>3394</v>
      </c>
      <c r="N377" s="69">
        <v>3794</v>
      </c>
      <c r="O377" s="69">
        <v>3141</v>
      </c>
      <c r="P377" s="70">
        <f>SUM(D377:O377)</f>
        <v>38397</v>
      </c>
    </row>
    <row r="378" spans="1:18" ht="9.9" hidden="1" customHeight="1" x14ac:dyDescent="0.25">
      <c r="A378"/>
      <c r="B378" s="71"/>
      <c r="C378" s="68" t="s">
        <v>88</v>
      </c>
      <c r="D378" s="69">
        <v>380</v>
      </c>
      <c r="E378" s="69">
        <v>616</v>
      </c>
      <c r="F378" s="69">
        <v>421</v>
      </c>
      <c r="G378" s="69">
        <v>542</v>
      </c>
      <c r="H378" s="69">
        <v>515</v>
      </c>
      <c r="I378" s="69">
        <v>662</v>
      </c>
      <c r="J378" s="69">
        <v>537</v>
      </c>
      <c r="K378" s="69">
        <v>663</v>
      </c>
      <c r="L378" s="69">
        <v>512</v>
      </c>
      <c r="M378" s="69">
        <v>626</v>
      </c>
      <c r="N378" s="69">
        <v>1055</v>
      </c>
      <c r="O378" s="69">
        <v>907</v>
      </c>
      <c r="P378" s="70">
        <f>SUM(D378:O378)</f>
        <v>7436</v>
      </c>
    </row>
    <row r="379" spans="1:18" ht="6" hidden="1" customHeight="1" x14ac:dyDescent="0.25">
      <c r="A379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6"/>
    </row>
    <row r="380" spans="1:18" ht="11.4" hidden="1" customHeight="1" x14ac:dyDescent="0.25">
      <c r="A380"/>
      <c r="B380" s="63" t="s">
        <v>23</v>
      </c>
      <c r="C380" s="64"/>
      <c r="D380" s="65">
        <f t="shared" ref="D380:O380" si="92">SUM(D381:D382)</f>
        <v>8081</v>
      </c>
      <c r="E380" s="65">
        <f t="shared" si="92"/>
        <v>8563</v>
      </c>
      <c r="F380" s="65">
        <f t="shared" si="92"/>
        <v>9217</v>
      </c>
      <c r="G380" s="65">
        <f t="shared" si="92"/>
        <v>9684</v>
      </c>
      <c r="H380" s="65">
        <f t="shared" si="92"/>
        <v>7802</v>
      </c>
      <c r="I380" s="65">
        <f t="shared" si="92"/>
        <v>9483</v>
      </c>
      <c r="J380" s="65">
        <f t="shared" si="92"/>
        <v>5247</v>
      </c>
      <c r="K380" s="65">
        <f t="shared" si="92"/>
        <v>3685</v>
      </c>
      <c r="L380" s="65">
        <f t="shared" si="92"/>
        <v>3216</v>
      </c>
      <c r="M380" s="65">
        <f t="shared" si="92"/>
        <v>9448</v>
      </c>
      <c r="N380" s="65">
        <f t="shared" si="92"/>
        <v>6918</v>
      </c>
      <c r="O380" s="65">
        <f t="shared" si="92"/>
        <v>7740</v>
      </c>
      <c r="P380" s="65">
        <f>SUM(D380:O380)</f>
        <v>89084</v>
      </c>
    </row>
    <row r="381" spans="1:18" ht="9.75" hidden="1" customHeight="1" x14ac:dyDescent="0.25">
      <c r="A381"/>
      <c r="B381" s="67"/>
      <c r="C381" s="102" t="s">
        <v>56</v>
      </c>
      <c r="D381" s="103">
        <v>5844</v>
      </c>
      <c r="E381" s="103">
        <v>6155</v>
      </c>
      <c r="F381" s="104">
        <v>6588</v>
      </c>
      <c r="G381" s="105">
        <v>7293</v>
      </c>
      <c r="H381" s="104">
        <v>5769</v>
      </c>
      <c r="I381" s="106">
        <v>6830</v>
      </c>
      <c r="J381" s="106">
        <v>3936</v>
      </c>
      <c r="K381" s="104">
        <v>1968</v>
      </c>
      <c r="L381" s="104">
        <v>1293</v>
      </c>
      <c r="M381" s="104">
        <v>6311</v>
      </c>
      <c r="N381" s="104">
        <v>4582</v>
      </c>
      <c r="O381" s="104">
        <v>5538</v>
      </c>
      <c r="P381" s="107">
        <f>SUM(D381:O381)</f>
        <v>62107</v>
      </c>
    </row>
    <row r="382" spans="1:18" ht="9.75" hidden="1" customHeight="1" x14ac:dyDescent="0.25">
      <c r="A382"/>
      <c r="B382" s="71"/>
      <c r="C382" s="68" t="s">
        <v>89</v>
      </c>
      <c r="D382" s="79">
        <v>2237</v>
      </c>
      <c r="E382" s="79">
        <v>2408</v>
      </c>
      <c r="F382" s="69">
        <v>2629</v>
      </c>
      <c r="G382" s="80">
        <v>2391</v>
      </c>
      <c r="H382" s="69">
        <v>2033</v>
      </c>
      <c r="I382" s="77">
        <v>2653</v>
      </c>
      <c r="J382" s="78">
        <v>1311</v>
      </c>
      <c r="K382" s="72">
        <v>1717</v>
      </c>
      <c r="L382" s="72">
        <v>1923</v>
      </c>
      <c r="M382" s="72">
        <v>3137</v>
      </c>
      <c r="N382" s="72">
        <v>2336</v>
      </c>
      <c r="O382" s="72">
        <v>2202</v>
      </c>
      <c r="P382" s="70">
        <f>SUM(D382:O382)</f>
        <v>26977</v>
      </c>
    </row>
    <row r="383" spans="1:18" ht="6" hidden="1" customHeight="1" x14ac:dyDescent="0.25">
      <c r="A383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6"/>
    </row>
    <row r="384" spans="1:18" ht="9.9" hidden="1" customHeight="1" x14ac:dyDescent="0.25">
      <c r="B384" s="63" t="s">
        <v>63</v>
      </c>
      <c r="C384" s="64"/>
      <c r="D384" s="65">
        <f t="shared" ref="D384:O384" si="93">SUM(D385:D388)</f>
        <v>1196</v>
      </c>
      <c r="E384" s="65">
        <f t="shared" si="93"/>
        <v>1266</v>
      </c>
      <c r="F384" s="65">
        <f t="shared" si="93"/>
        <v>2175</v>
      </c>
      <c r="G384" s="65">
        <f t="shared" si="93"/>
        <v>1494</v>
      </c>
      <c r="H384" s="65">
        <f t="shared" si="93"/>
        <v>798</v>
      </c>
      <c r="I384" s="65">
        <f t="shared" si="93"/>
        <v>639</v>
      </c>
      <c r="J384" s="65">
        <f t="shared" si="93"/>
        <v>699</v>
      </c>
      <c r="K384" s="65">
        <f t="shared" si="93"/>
        <v>882</v>
      </c>
      <c r="L384" s="65">
        <f t="shared" si="93"/>
        <v>347</v>
      </c>
      <c r="M384" s="65">
        <f t="shared" si="93"/>
        <v>975</v>
      </c>
      <c r="N384" s="65">
        <f t="shared" si="93"/>
        <v>595</v>
      </c>
      <c r="O384" s="65">
        <f t="shared" si="93"/>
        <v>1178</v>
      </c>
      <c r="P384" s="66">
        <f>SUM(D384:O384)</f>
        <v>12244</v>
      </c>
    </row>
    <row r="385" spans="2:16" ht="9.9" hidden="1" customHeight="1" x14ac:dyDescent="0.25">
      <c r="B385" s="67"/>
      <c r="C385" s="68" t="s">
        <v>77</v>
      </c>
      <c r="D385" s="79">
        <v>911</v>
      </c>
      <c r="E385" s="79">
        <v>860</v>
      </c>
      <c r="F385" s="69">
        <v>1060</v>
      </c>
      <c r="G385" s="80">
        <v>839</v>
      </c>
      <c r="H385" s="69">
        <v>553</v>
      </c>
      <c r="I385" s="77">
        <v>522</v>
      </c>
      <c r="J385" s="78">
        <v>607</v>
      </c>
      <c r="K385" s="72">
        <v>718</v>
      </c>
      <c r="L385" s="72">
        <v>332</v>
      </c>
      <c r="M385" s="72">
        <v>648</v>
      </c>
      <c r="N385" s="72">
        <v>480</v>
      </c>
      <c r="O385" s="72">
        <v>912</v>
      </c>
      <c r="P385" s="70">
        <f>SUM(D385:O385)</f>
        <v>8442</v>
      </c>
    </row>
    <row r="386" spans="2:16" ht="9.9" hidden="1" customHeight="1" x14ac:dyDescent="0.25">
      <c r="B386" s="67"/>
      <c r="C386" s="68" t="s">
        <v>91</v>
      </c>
      <c r="D386" s="79">
        <v>277</v>
      </c>
      <c r="E386" s="79">
        <v>239</v>
      </c>
      <c r="F386" s="69">
        <v>306</v>
      </c>
      <c r="G386" s="80">
        <v>258</v>
      </c>
      <c r="H386" s="69">
        <v>197</v>
      </c>
      <c r="I386" s="77">
        <v>92</v>
      </c>
      <c r="J386" s="77">
        <v>90</v>
      </c>
      <c r="K386" s="69">
        <v>110</v>
      </c>
      <c r="L386" s="69">
        <v>4</v>
      </c>
      <c r="M386" s="69">
        <v>264</v>
      </c>
      <c r="N386" s="69">
        <v>52</v>
      </c>
      <c r="O386" s="69">
        <v>224</v>
      </c>
      <c r="P386" s="70">
        <f>SUM(D386:O386)</f>
        <v>2113</v>
      </c>
    </row>
    <row r="387" spans="2:16" ht="9.9" hidden="1" customHeight="1" x14ac:dyDescent="0.25">
      <c r="B387" s="67"/>
      <c r="C387" s="68" t="s">
        <v>92</v>
      </c>
      <c r="D387" s="79">
        <v>8</v>
      </c>
      <c r="E387" s="79">
        <v>167</v>
      </c>
      <c r="F387" s="69">
        <v>809</v>
      </c>
      <c r="G387" s="80">
        <v>397</v>
      </c>
      <c r="H387" s="69">
        <v>48</v>
      </c>
      <c r="I387" s="77">
        <v>0</v>
      </c>
      <c r="J387" s="77">
        <v>-1</v>
      </c>
      <c r="K387" s="69">
        <v>0</v>
      </c>
      <c r="L387" s="69">
        <v>0</v>
      </c>
      <c r="M387" s="69">
        <v>0</v>
      </c>
      <c r="N387" s="69">
        <v>0</v>
      </c>
      <c r="O387" s="69">
        <v>0</v>
      </c>
      <c r="P387" s="70">
        <f>SUM(D387:O387)</f>
        <v>1428</v>
      </c>
    </row>
    <row r="388" spans="2:16" ht="9.9" hidden="1" customHeight="1" x14ac:dyDescent="0.25">
      <c r="B388" s="71"/>
      <c r="C388" s="68" t="s">
        <v>124</v>
      </c>
      <c r="D388" s="79">
        <v>0</v>
      </c>
      <c r="E388" s="79">
        <v>0</v>
      </c>
      <c r="F388" s="69">
        <v>0</v>
      </c>
      <c r="G388" s="80">
        <v>0</v>
      </c>
      <c r="H388" s="69">
        <v>0</v>
      </c>
      <c r="I388" s="77">
        <v>25</v>
      </c>
      <c r="J388" s="77">
        <v>3</v>
      </c>
      <c r="K388" s="69">
        <v>54</v>
      </c>
      <c r="L388" s="69">
        <v>11</v>
      </c>
      <c r="M388" s="69">
        <v>63</v>
      </c>
      <c r="N388" s="69">
        <v>63</v>
      </c>
      <c r="O388" s="69">
        <v>42</v>
      </c>
      <c r="P388" s="70">
        <f>SUM(D388:O388)</f>
        <v>261</v>
      </c>
    </row>
    <row r="389" spans="2:16" ht="6.65" hidden="1" customHeight="1" x14ac:dyDescent="0.25"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76"/>
    </row>
    <row r="390" spans="2:16" ht="9.9" hidden="1" customHeight="1" x14ac:dyDescent="0.25">
      <c r="B390" s="63" t="s">
        <v>43</v>
      </c>
      <c r="C390" s="64"/>
      <c r="D390" s="65">
        <f t="shared" ref="D390:O390" si="94">SUM(D391:D392)</f>
        <v>6733</v>
      </c>
      <c r="E390" s="65">
        <f t="shared" si="94"/>
        <v>5869</v>
      </c>
      <c r="F390" s="65">
        <f t="shared" si="94"/>
        <v>4985</v>
      </c>
      <c r="G390" s="65">
        <f t="shared" si="94"/>
        <v>4478</v>
      </c>
      <c r="H390" s="65">
        <f t="shared" si="94"/>
        <v>2988</v>
      </c>
      <c r="I390" s="65">
        <f t="shared" si="94"/>
        <v>3338</v>
      </c>
      <c r="J390" s="65">
        <f t="shared" si="94"/>
        <v>3972</v>
      </c>
      <c r="K390" s="65">
        <f t="shared" si="94"/>
        <v>3821</v>
      </c>
      <c r="L390" s="65">
        <f t="shared" si="94"/>
        <v>2093</v>
      </c>
      <c r="M390" s="65">
        <f t="shared" si="94"/>
        <v>2911</v>
      </c>
      <c r="N390" s="65">
        <f t="shared" si="94"/>
        <v>3861</v>
      </c>
      <c r="O390" s="65">
        <f t="shared" si="94"/>
        <v>3327</v>
      </c>
      <c r="P390" s="66">
        <f>SUM(D390:O390)</f>
        <v>48376</v>
      </c>
    </row>
    <row r="391" spans="2:16" ht="9.9" hidden="1" customHeight="1" x14ac:dyDescent="0.25">
      <c r="B391" s="67"/>
      <c r="C391" s="68" t="s">
        <v>105</v>
      </c>
      <c r="D391" s="79">
        <v>4415</v>
      </c>
      <c r="E391" s="79">
        <v>4209</v>
      </c>
      <c r="F391" s="69">
        <v>3380</v>
      </c>
      <c r="G391" s="80">
        <v>3330</v>
      </c>
      <c r="H391" s="69">
        <v>2167</v>
      </c>
      <c r="I391" s="77">
        <v>2471</v>
      </c>
      <c r="J391" s="77">
        <v>2689</v>
      </c>
      <c r="K391" s="69">
        <v>2542</v>
      </c>
      <c r="L391" s="69">
        <v>1567</v>
      </c>
      <c r="M391" s="69">
        <v>1776</v>
      </c>
      <c r="N391" s="69">
        <v>2052</v>
      </c>
      <c r="O391" s="69">
        <v>2206</v>
      </c>
      <c r="P391" s="70">
        <f>SUM(D391:O391)</f>
        <v>32804</v>
      </c>
    </row>
    <row r="392" spans="2:16" ht="9.9" hidden="1" customHeight="1" x14ac:dyDescent="0.25">
      <c r="B392" s="71"/>
      <c r="C392" s="68" t="s">
        <v>106</v>
      </c>
      <c r="D392" s="79">
        <v>2318</v>
      </c>
      <c r="E392" s="79">
        <v>1660</v>
      </c>
      <c r="F392" s="69">
        <v>1605</v>
      </c>
      <c r="G392" s="80">
        <v>1148</v>
      </c>
      <c r="H392" s="69">
        <v>821</v>
      </c>
      <c r="I392" s="77">
        <v>867</v>
      </c>
      <c r="J392" s="77">
        <v>1283</v>
      </c>
      <c r="K392" s="69">
        <v>1279</v>
      </c>
      <c r="L392" s="69">
        <v>526</v>
      </c>
      <c r="M392" s="69">
        <v>1135</v>
      </c>
      <c r="N392" s="69">
        <v>1809</v>
      </c>
      <c r="O392" s="69">
        <v>1121</v>
      </c>
      <c r="P392" s="70">
        <f>SUM(D392:O392)</f>
        <v>15572</v>
      </c>
    </row>
    <row r="393" spans="2:16" ht="6.65" hidden="1" customHeight="1" x14ac:dyDescent="0.25"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76"/>
    </row>
    <row r="394" spans="2:16" ht="9.9" hidden="1" customHeight="1" x14ac:dyDescent="0.25">
      <c r="B394" s="63" t="s">
        <v>127</v>
      </c>
      <c r="C394" s="64"/>
      <c r="D394" s="197">
        <f t="shared" ref="D394:I394" si="95">SUM(D395,D396)</f>
        <v>4313</v>
      </c>
      <c r="E394" s="197">
        <f t="shared" si="95"/>
        <v>2781</v>
      </c>
      <c r="F394" s="197">
        <f t="shared" si="95"/>
        <v>4274</v>
      </c>
      <c r="G394" s="197">
        <f t="shared" si="95"/>
        <v>4096</v>
      </c>
      <c r="H394" s="197">
        <f t="shared" si="95"/>
        <v>3479</v>
      </c>
      <c r="I394" s="197">
        <f t="shared" si="95"/>
        <v>2780</v>
      </c>
      <c r="J394" s="65">
        <f t="shared" ref="J394:O394" si="96">SUM(J395:J396)</f>
        <v>4452</v>
      </c>
      <c r="K394" s="65">
        <f t="shared" si="96"/>
        <v>3322</v>
      </c>
      <c r="L394" s="65">
        <f t="shared" si="96"/>
        <v>2189</v>
      </c>
      <c r="M394" s="65">
        <f t="shared" si="96"/>
        <v>3494</v>
      </c>
      <c r="N394" s="65">
        <f t="shared" si="96"/>
        <v>2895</v>
      </c>
      <c r="O394" s="65">
        <f t="shared" si="96"/>
        <v>3525</v>
      </c>
      <c r="P394" s="66">
        <f>SUM(D394:O394)</f>
        <v>41600</v>
      </c>
    </row>
    <row r="395" spans="2:16" ht="9.9" hidden="1" customHeight="1" x14ac:dyDescent="0.25">
      <c r="B395" s="67"/>
      <c r="C395" s="68" t="s">
        <v>72</v>
      </c>
      <c r="D395" s="69">
        <v>4313</v>
      </c>
      <c r="E395" s="69">
        <v>2781</v>
      </c>
      <c r="F395" s="69">
        <v>4274</v>
      </c>
      <c r="G395" s="69">
        <v>4096</v>
      </c>
      <c r="H395" s="69">
        <v>3479</v>
      </c>
      <c r="I395" s="69">
        <v>2780</v>
      </c>
      <c r="J395" s="77">
        <v>2392</v>
      </c>
      <c r="K395" s="69">
        <v>1281</v>
      </c>
      <c r="L395" s="69">
        <v>853</v>
      </c>
      <c r="M395" s="69">
        <v>2151</v>
      </c>
      <c r="N395" s="69">
        <v>1478</v>
      </c>
      <c r="O395" s="69">
        <v>2016</v>
      </c>
      <c r="P395" s="203">
        <f>SUM(D395:O395)</f>
        <v>31894</v>
      </c>
    </row>
    <row r="396" spans="2:16" ht="9.9" hidden="1" customHeight="1" x14ac:dyDescent="0.25">
      <c r="B396" s="71"/>
      <c r="C396" s="68" t="s">
        <v>128</v>
      </c>
      <c r="D396" s="198">
        <v>0</v>
      </c>
      <c r="E396" s="198">
        <v>0</v>
      </c>
      <c r="F396" s="199">
        <v>0</v>
      </c>
      <c r="G396" s="200">
        <v>0</v>
      </c>
      <c r="H396" s="199">
        <v>0</v>
      </c>
      <c r="I396" s="201">
        <v>0</v>
      </c>
      <c r="J396" s="77">
        <v>2060</v>
      </c>
      <c r="K396" s="69">
        <v>2041</v>
      </c>
      <c r="L396" s="69">
        <v>1336</v>
      </c>
      <c r="M396" s="69">
        <v>1343</v>
      </c>
      <c r="N396" s="69">
        <v>1417</v>
      </c>
      <c r="O396" s="69">
        <v>1509</v>
      </c>
      <c r="P396" s="203">
        <f>SUM(D396:O396)</f>
        <v>9706</v>
      </c>
    </row>
    <row r="397" spans="2:16" ht="7.25" hidden="1" customHeight="1" x14ac:dyDescent="0.25"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76"/>
    </row>
    <row r="398" spans="2:16" ht="10.25" hidden="1" customHeight="1" x14ac:dyDescent="0.25">
      <c r="B398" s="63" t="s">
        <v>67</v>
      </c>
      <c r="C398" s="64"/>
      <c r="D398" s="65">
        <f t="shared" ref="D398:O398" si="97">SUM(D399:D401)</f>
        <v>5650</v>
      </c>
      <c r="E398" s="65">
        <f t="shared" si="97"/>
        <v>2714</v>
      </c>
      <c r="F398" s="65">
        <f t="shared" si="97"/>
        <v>5252</v>
      </c>
      <c r="G398" s="65">
        <f t="shared" si="97"/>
        <v>6009</v>
      </c>
      <c r="H398" s="65">
        <f t="shared" si="97"/>
        <v>5584</v>
      </c>
      <c r="I398" s="65">
        <f t="shared" si="97"/>
        <v>5357</v>
      </c>
      <c r="J398" s="65">
        <f t="shared" si="97"/>
        <v>5028</v>
      </c>
      <c r="K398" s="65">
        <f t="shared" si="97"/>
        <v>3718</v>
      </c>
      <c r="L398" s="65">
        <f t="shared" si="97"/>
        <v>3892</v>
      </c>
      <c r="M398" s="65">
        <f t="shared" si="97"/>
        <v>6119</v>
      </c>
      <c r="N398" s="65">
        <f t="shared" si="97"/>
        <v>3946</v>
      </c>
      <c r="O398" s="65">
        <f t="shared" si="97"/>
        <v>6194</v>
      </c>
      <c r="P398" s="65">
        <f>SUM(D398:O398)</f>
        <v>59463</v>
      </c>
    </row>
    <row r="399" spans="2:16" ht="8.4" hidden="1" customHeight="1" x14ac:dyDescent="0.25">
      <c r="B399" s="67"/>
      <c r="C399" s="68" t="s">
        <v>99</v>
      </c>
      <c r="D399" s="79">
        <v>0</v>
      </c>
      <c r="E399" s="79">
        <v>0</v>
      </c>
      <c r="F399" s="69">
        <v>0</v>
      </c>
      <c r="G399" s="80">
        <v>-1</v>
      </c>
      <c r="H399" s="69">
        <v>0</v>
      </c>
      <c r="I399" s="77">
        <v>0</v>
      </c>
      <c r="J399" s="77">
        <v>0</v>
      </c>
      <c r="K399" s="69">
        <v>0</v>
      </c>
      <c r="L399" s="69">
        <v>0</v>
      </c>
      <c r="M399" s="69">
        <v>0</v>
      </c>
      <c r="N399" s="69">
        <v>0</v>
      </c>
      <c r="O399" s="69">
        <v>0</v>
      </c>
      <c r="P399" s="202">
        <f>SUM(D399:O399)</f>
        <v>-1</v>
      </c>
    </row>
    <row r="400" spans="2:16" ht="9.9" hidden="1" customHeight="1" x14ac:dyDescent="0.25">
      <c r="B400" s="67"/>
      <c r="C400" s="68" t="s">
        <v>100</v>
      </c>
      <c r="D400" s="79">
        <v>5650</v>
      </c>
      <c r="E400" s="79">
        <v>2714</v>
      </c>
      <c r="F400" s="79">
        <v>5252</v>
      </c>
      <c r="G400" s="79">
        <v>6010</v>
      </c>
      <c r="H400" s="79">
        <v>5584</v>
      </c>
      <c r="I400" s="79">
        <v>5357</v>
      </c>
      <c r="J400" s="79">
        <v>4993</v>
      </c>
      <c r="K400" s="79">
        <v>3576</v>
      </c>
      <c r="L400" s="79">
        <v>3757</v>
      </c>
      <c r="M400" s="79">
        <v>5583</v>
      </c>
      <c r="N400" s="72">
        <v>3671</v>
      </c>
      <c r="O400" s="72">
        <v>5964</v>
      </c>
      <c r="P400" s="202">
        <f>SUM(D400:O400)</f>
        <v>58111</v>
      </c>
    </row>
    <row r="401" spans="1:17" s="11" customFormat="1" ht="8.4" hidden="1" customHeight="1" x14ac:dyDescent="0.25">
      <c r="A401" s="15"/>
      <c r="B401" s="71"/>
      <c r="C401" s="68" t="s">
        <v>92</v>
      </c>
      <c r="D401" s="79">
        <v>0</v>
      </c>
      <c r="E401" s="79">
        <v>0</v>
      </c>
      <c r="F401" s="79">
        <v>0</v>
      </c>
      <c r="G401" s="79">
        <v>0</v>
      </c>
      <c r="H401" s="79">
        <v>0</v>
      </c>
      <c r="I401" s="79">
        <v>0</v>
      </c>
      <c r="J401" s="79">
        <v>35</v>
      </c>
      <c r="K401" s="79">
        <v>142</v>
      </c>
      <c r="L401" s="79">
        <v>135</v>
      </c>
      <c r="M401" s="79">
        <v>536</v>
      </c>
      <c r="N401" s="72">
        <v>275</v>
      </c>
      <c r="O401" s="72">
        <v>230</v>
      </c>
      <c r="P401" s="202">
        <f>SUM(D401:O401)</f>
        <v>1353</v>
      </c>
      <c r="Q401" s="90"/>
    </row>
    <row r="402" spans="1:17" ht="6.65" hidden="1" customHeight="1" x14ac:dyDescent="0.25">
      <c r="A402" s="142"/>
      <c r="B402" s="142"/>
      <c r="C402" s="142"/>
      <c r="D402" s="143"/>
      <c r="E402" s="143"/>
      <c r="F402" s="143"/>
      <c r="G402" s="143"/>
      <c r="H402" s="143"/>
      <c r="I402" s="143"/>
      <c r="J402" s="144"/>
      <c r="K402" s="144"/>
      <c r="L402" s="144"/>
      <c r="M402" s="144"/>
      <c r="N402" s="144"/>
      <c r="O402" s="144"/>
      <c r="P402" s="145"/>
    </row>
    <row r="403" spans="1:17" ht="10.25" hidden="1" customHeight="1" x14ac:dyDescent="0.25">
      <c r="B403" s="63" t="s">
        <v>9</v>
      </c>
      <c r="C403" s="64"/>
      <c r="D403" s="65">
        <f t="shared" ref="D403:O403" si="98">SUM(D404:D405)</f>
        <v>7952</v>
      </c>
      <c r="E403" s="65">
        <f t="shared" si="98"/>
        <v>7626</v>
      </c>
      <c r="F403" s="65">
        <f t="shared" si="98"/>
        <v>11213</v>
      </c>
      <c r="G403" s="65">
        <f t="shared" si="98"/>
        <v>9182</v>
      </c>
      <c r="H403" s="65">
        <f t="shared" si="98"/>
        <v>6930</v>
      </c>
      <c r="I403" s="65">
        <f t="shared" si="98"/>
        <v>9208</v>
      </c>
      <c r="J403" s="65">
        <f t="shared" si="98"/>
        <v>8804</v>
      </c>
      <c r="K403" s="65">
        <f t="shared" si="98"/>
        <v>7424</v>
      </c>
      <c r="L403" s="65">
        <f t="shared" si="98"/>
        <v>4916</v>
      </c>
      <c r="M403" s="65">
        <f t="shared" si="98"/>
        <v>4042</v>
      </c>
      <c r="N403" s="65">
        <f t="shared" si="98"/>
        <v>7288</v>
      </c>
      <c r="O403" s="65">
        <f t="shared" si="98"/>
        <v>7633</v>
      </c>
      <c r="P403" s="66">
        <f>SUM(D403:O403)</f>
        <v>92218</v>
      </c>
    </row>
    <row r="404" spans="1:17" ht="9" hidden="1" customHeight="1" x14ac:dyDescent="0.25">
      <c r="B404" s="67"/>
      <c r="C404" s="68" t="s">
        <v>9</v>
      </c>
      <c r="D404" s="79">
        <v>7896</v>
      </c>
      <c r="E404" s="79">
        <v>5731</v>
      </c>
      <c r="F404" s="69">
        <v>8751</v>
      </c>
      <c r="G404" s="80">
        <v>7607</v>
      </c>
      <c r="H404" s="69">
        <v>5918</v>
      </c>
      <c r="I404" s="77">
        <v>7654</v>
      </c>
      <c r="J404" s="77">
        <v>7396</v>
      </c>
      <c r="K404" s="69">
        <v>6217</v>
      </c>
      <c r="L404" s="69">
        <v>4259</v>
      </c>
      <c r="M404" s="69">
        <v>2726</v>
      </c>
      <c r="N404" s="69">
        <v>5769</v>
      </c>
      <c r="O404" s="69">
        <v>6489</v>
      </c>
      <c r="P404" s="70">
        <f>SUM(D404:O404)</f>
        <v>76413</v>
      </c>
      <c r="Q404"/>
    </row>
    <row r="405" spans="1:17" ht="8.4" hidden="1" customHeight="1" x14ac:dyDescent="0.25">
      <c r="B405" s="71"/>
      <c r="C405" s="68" t="s">
        <v>92</v>
      </c>
      <c r="D405" s="79">
        <v>56</v>
      </c>
      <c r="E405" s="79">
        <v>1895</v>
      </c>
      <c r="F405" s="79">
        <v>2462</v>
      </c>
      <c r="G405" s="79">
        <v>1575</v>
      </c>
      <c r="H405" s="79">
        <v>1012</v>
      </c>
      <c r="I405" s="79">
        <v>1554</v>
      </c>
      <c r="J405" s="79">
        <v>1408</v>
      </c>
      <c r="K405" s="79">
        <v>1207</v>
      </c>
      <c r="L405" s="79">
        <v>657</v>
      </c>
      <c r="M405" s="79">
        <v>1316</v>
      </c>
      <c r="N405" s="72">
        <v>1519</v>
      </c>
      <c r="O405" s="72">
        <v>1144</v>
      </c>
      <c r="P405" s="70">
        <f>SUM(D405:O405)</f>
        <v>15805</v>
      </c>
      <c r="Q405"/>
    </row>
    <row r="406" spans="1:17" ht="12.65" hidden="1" customHeight="1" x14ac:dyDescent="0.25">
      <c r="A406" s="11"/>
      <c r="B406" s="11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1"/>
      <c r="Q406"/>
    </row>
    <row r="407" spans="1:17" ht="12.75" hidden="1" customHeight="1" thickBot="1" x14ac:dyDescent="0.3">
      <c r="B407" s="13" t="s">
        <v>96</v>
      </c>
      <c r="C407" s="13"/>
      <c r="Q407"/>
    </row>
    <row r="408" spans="1:17" ht="12.75" hidden="1" customHeight="1" thickBot="1" x14ac:dyDescent="0.3">
      <c r="B408" s="421" t="s">
        <v>1</v>
      </c>
      <c r="C408" s="422"/>
      <c r="D408" s="16">
        <v>1</v>
      </c>
      <c r="E408" s="17">
        <v>2</v>
      </c>
      <c r="F408" s="17">
        <v>3</v>
      </c>
      <c r="G408" s="17">
        <v>4</v>
      </c>
      <c r="H408" s="17">
        <v>5</v>
      </c>
      <c r="I408" s="17">
        <v>6</v>
      </c>
      <c r="J408" s="17">
        <v>7</v>
      </c>
      <c r="K408" s="17">
        <v>8</v>
      </c>
      <c r="L408" s="17">
        <v>9</v>
      </c>
      <c r="M408" s="17">
        <v>10</v>
      </c>
      <c r="N408" s="17">
        <v>11</v>
      </c>
      <c r="O408" s="17">
        <v>12</v>
      </c>
      <c r="P408" s="18" t="s">
        <v>0</v>
      </c>
      <c r="Q408"/>
    </row>
    <row r="409" spans="1:17" ht="12.75" hidden="1" customHeight="1" x14ac:dyDescent="0.25">
      <c r="B409" s="432" t="s">
        <v>37</v>
      </c>
      <c r="C409" s="129" t="s">
        <v>17</v>
      </c>
      <c r="D409" s="28">
        <v>0</v>
      </c>
      <c r="E409" s="29">
        <v>0</v>
      </c>
      <c r="F409" s="28">
        <v>0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29">
        <v>0</v>
      </c>
      <c r="M409" s="29"/>
      <c r="N409" s="29"/>
      <c r="O409" s="29"/>
      <c r="P409" s="30">
        <f t="shared" ref="P409:P416" si="99">SUM(D409:O409)</f>
        <v>0</v>
      </c>
      <c r="Q409"/>
    </row>
    <row r="410" spans="1:17" ht="12.75" hidden="1" customHeight="1" x14ac:dyDescent="0.25">
      <c r="A410"/>
      <c r="B410" s="433"/>
      <c r="C410" s="130" t="s">
        <v>18</v>
      </c>
      <c r="D410" s="57">
        <f>31+55</f>
        <v>86</v>
      </c>
      <c r="E410" s="58">
        <f>88+52</f>
        <v>140</v>
      </c>
      <c r="F410" s="57">
        <f>101+88</f>
        <v>189</v>
      </c>
      <c r="G410" s="58">
        <f>116+112</f>
        <v>228</v>
      </c>
      <c r="H410" s="58">
        <f>142+85</f>
        <v>227</v>
      </c>
      <c r="I410" s="58">
        <f>174+267</f>
        <v>441</v>
      </c>
      <c r="J410" s="58">
        <v>262</v>
      </c>
      <c r="K410" s="58">
        <v>95</v>
      </c>
      <c r="L410" s="60">
        <v>298</v>
      </c>
      <c r="M410" s="58">
        <v>207</v>
      </c>
      <c r="N410" s="58">
        <v>99</v>
      </c>
      <c r="O410" s="58">
        <v>69</v>
      </c>
      <c r="P410" s="59">
        <f t="shared" si="99"/>
        <v>2341</v>
      </c>
      <c r="Q410"/>
    </row>
    <row r="411" spans="1:17" ht="12.75" hidden="1" customHeight="1" x14ac:dyDescent="0.25">
      <c r="A411"/>
      <c r="B411" s="433"/>
      <c r="C411" s="130" t="s">
        <v>20</v>
      </c>
      <c r="D411" s="57">
        <v>2638</v>
      </c>
      <c r="E411" s="57">
        <v>2575</v>
      </c>
      <c r="F411" s="57">
        <v>3886</v>
      </c>
      <c r="G411" s="57">
        <v>8249</v>
      </c>
      <c r="H411" s="57">
        <v>9382</v>
      </c>
      <c r="I411" s="57">
        <v>10875</v>
      </c>
      <c r="J411" s="57">
        <v>11037</v>
      </c>
      <c r="K411" s="57">
        <v>5792</v>
      </c>
      <c r="L411" s="57">
        <v>9136</v>
      </c>
      <c r="M411" s="57">
        <v>8316</v>
      </c>
      <c r="N411" s="57">
        <v>7477</v>
      </c>
      <c r="O411" s="57">
        <v>8368</v>
      </c>
      <c r="P411" s="24">
        <f t="shared" si="99"/>
        <v>87731</v>
      </c>
      <c r="Q411"/>
    </row>
    <row r="412" spans="1:17" ht="12.75" hidden="1" customHeight="1" x14ac:dyDescent="0.25">
      <c r="A412"/>
      <c r="B412" s="433"/>
      <c r="C412" s="130" t="s">
        <v>46</v>
      </c>
      <c r="D412" s="57">
        <v>164</v>
      </c>
      <c r="E412" s="57">
        <v>188</v>
      </c>
      <c r="F412" s="57">
        <f>409+276</f>
        <v>685</v>
      </c>
      <c r="G412" s="57">
        <v>555</v>
      </c>
      <c r="H412" s="57">
        <v>183</v>
      </c>
      <c r="I412" s="57">
        <v>280</v>
      </c>
      <c r="J412" s="57">
        <v>268</v>
      </c>
      <c r="K412" s="57">
        <v>264</v>
      </c>
      <c r="L412" s="57">
        <v>233</v>
      </c>
      <c r="M412" s="57">
        <v>234</v>
      </c>
      <c r="N412" s="57">
        <v>540</v>
      </c>
      <c r="O412" s="57">
        <v>21</v>
      </c>
      <c r="P412" s="21">
        <f t="shared" si="99"/>
        <v>3615</v>
      </c>
      <c r="Q412"/>
    </row>
    <row r="413" spans="1:17" ht="12.75" hidden="1" customHeight="1" x14ac:dyDescent="0.25">
      <c r="A413"/>
      <c r="B413" s="433"/>
      <c r="C413" s="131" t="s">
        <v>3</v>
      </c>
      <c r="D413" s="22">
        <v>30</v>
      </c>
      <c r="E413" s="23">
        <v>32</v>
      </c>
      <c r="F413" s="22">
        <v>67</v>
      </c>
      <c r="G413" s="23">
        <v>45</v>
      </c>
      <c r="H413" s="23">
        <v>45</v>
      </c>
      <c r="I413" s="23">
        <v>59</v>
      </c>
      <c r="J413" s="23">
        <v>48</v>
      </c>
      <c r="K413" s="23">
        <v>66</v>
      </c>
      <c r="L413" s="25">
        <v>70</v>
      </c>
      <c r="M413" s="23">
        <v>37</v>
      </c>
      <c r="N413" s="23">
        <v>2</v>
      </c>
      <c r="O413" s="23">
        <v>-1</v>
      </c>
      <c r="P413" s="59">
        <f t="shared" si="99"/>
        <v>500</v>
      </c>
      <c r="Q413"/>
    </row>
    <row r="414" spans="1:17" ht="12.75" hidden="1" customHeight="1" x14ac:dyDescent="0.25">
      <c r="A414"/>
      <c r="B414" s="433"/>
      <c r="C414" s="132" t="s">
        <v>21</v>
      </c>
      <c r="D414" s="56">
        <v>6423</v>
      </c>
      <c r="E414" s="56">
        <v>5022</v>
      </c>
      <c r="F414" s="56">
        <f>1729+4804+720</f>
        <v>7253</v>
      </c>
      <c r="G414" s="56">
        <v>5385</v>
      </c>
      <c r="H414" s="56">
        <v>5827</v>
      </c>
      <c r="I414" s="56">
        <v>8063</v>
      </c>
      <c r="J414" s="56">
        <v>5213</v>
      </c>
      <c r="K414" s="56">
        <v>4595</v>
      </c>
      <c r="L414" s="56">
        <v>4589</v>
      </c>
      <c r="M414" s="56">
        <v>5670</v>
      </c>
      <c r="N414" s="56">
        <v>5038</v>
      </c>
      <c r="O414" s="56">
        <v>4362</v>
      </c>
      <c r="P414" s="59">
        <f t="shared" si="99"/>
        <v>67440</v>
      </c>
      <c r="Q414"/>
    </row>
    <row r="415" spans="1:17" ht="12.75" hidden="1" customHeight="1" x14ac:dyDescent="0.25">
      <c r="A415"/>
      <c r="B415" s="433"/>
      <c r="C415" s="132" t="s">
        <v>35</v>
      </c>
      <c r="D415" s="56">
        <v>0</v>
      </c>
      <c r="E415" s="56">
        <v>0</v>
      </c>
      <c r="F415" s="56">
        <v>0</v>
      </c>
      <c r="G415" s="56">
        <v>0</v>
      </c>
      <c r="H415" s="56">
        <v>0</v>
      </c>
      <c r="I415" s="56">
        <v>0</v>
      </c>
      <c r="J415" s="56">
        <v>0</v>
      </c>
      <c r="K415" s="56">
        <v>0</v>
      </c>
      <c r="L415" s="56">
        <v>0</v>
      </c>
      <c r="M415" s="56"/>
      <c r="N415" s="56"/>
      <c r="O415" s="56"/>
      <c r="P415" s="59">
        <f t="shared" si="99"/>
        <v>0</v>
      </c>
      <c r="Q415"/>
    </row>
    <row r="416" spans="1:17" ht="12.75" hidden="1" customHeight="1" x14ac:dyDescent="0.25">
      <c r="A416"/>
      <c r="B416" s="433"/>
      <c r="C416" s="132" t="s">
        <v>23</v>
      </c>
      <c r="D416" s="55">
        <v>9350</v>
      </c>
      <c r="E416" s="55">
        <v>7550</v>
      </c>
      <c r="F416" s="55">
        <f>13568+3032</f>
        <v>16600</v>
      </c>
      <c r="G416" s="55">
        <v>15000</v>
      </c>
      <c r="H416" s="55">
        <v>13416</v>
      </c>
      <c r="I416" s="55">
        <v>15688</v>
      </c>
      <c r="J416" s="55">
        <v>14381</v>
      </c>
      <c r="K416" s="55">
        <v>10235</v>
      </c>
      <c r="L416" s="55">
        <v>11590</v>
      </c>
      <c r="M416" s="55">
        <v>10926</v>
      </c>
      <c r="N416" s="55">
        <v>11648</v>
      </c>
      <c r="O416" s="55">
        <v>9079</v>
      </c>
      <c r="P416" s="59">
        <f t="shared" si="99"/>
        <v>145463</v>
      </c>
      <c r="Q416"/>
    </row>
    <row r="417" spans="1:17" ht="12.75" hidden="1" customHeight="1" thickBot="1" x14ac:dyDescent="0.3">
      <c r="A417"/>
      <c r="B417" s="418"/>
      <c r="C417" s="133" t="s">
        <v>0</v>
      </c>
      <c r="D417" s="32">
        <f t="shared" ref="D417:O417" si="100">SUM(D409:D416)</f>
        <v>18691</v>
      </c>
      <c r="E417" s="32">
        <f t="shared" si="100"/>
        <v>15507</v>
      </c>
      <c r="F417" s="32">
        <f t="shared" si="100"/>
        <v>28680</v>
      </c>
      <c r="G417" s="32">
        <f t="shared" si="100"/>
        <v>29462</v>
      </c>
      <c r="H417" s="32">
        <f t="shared" si="100"/>
        <v>29080</v>
      </c>
      <c r="I417" s="32">
        <f t="shared" si="100"/>
        <v>35406</v>
      </c>
      <c r="J417" s="32">
        <f t="shared" si="100"/>
        <v>31209</v>
      </c>
      <c r="K417" s="32">
        <f>SUM(K409:K416)</f>
        <v>21047</v>
      </c>
      <c r="L417" s="32">
        <f t="shared" si="100"/>
        <v>25916</v>
      </c>
      <c r="M417" s="32">
        <f t="shared" si="100"/>
        <v>25390</v>
      </c>
      <c r="N417" s="32">
        <f t="shared" si="100"/>
        <v>24804</v>
      </c>
      <c r="O417" s="32">
        <f t="shared" si="100"/>
        <v>21898</v>
      </c>
      <c r="P417" s="33">
        <f>SUM(P409:P416)</f>
        <v>307090</v>
      </c>
      <c r="Q417"/>
    </row>
    <row r="418" spans="1:17" ht="12.75" hidden="1" customHeight="1" x14ac:dyDescent="0.25">
      <c r="A418"/>
      <c r="B418" s="427" t="s">
        <v>36</v>
      </c>
      <c r="C418" s="129" t="s">
        <v>86</v>
      </c>
      <c r="D418" s="28">
        <v>1710</v>
      </c>
      <c r="E418" s="29">
        <v>584</v>
      </c>
      <c r="F418" s="29">
        <v>2121</v>
      </c>
      <c r="G418" s="29">
        <v>1974</v>
      </c>
      <c r="H418" s="29">
        <v>1325</v>
      </c>
      <c r="I418" s="29">
        <v>2175</v>
      </c>
      <c r="J418" s="29">
        <v>1554</v>
      </c>
      <c r="K418" s="29">
        <v>1029</v>
      </c>
      <c r="L418" s="29">
        <v>1575</v>
      </c>
      <c r="M418" s="29">
        <v>1015</v>
      </c>
      <c r="N418" s="29">
        <v>1189</v>
      </c>
      <c r="O418" s="29">
        <v>1475</v>
      </c>
      <c r="P418" s="30">
        <f t="shared" ref="P418:P423" si="101">SUM(D418:O418)</f>
        <v>17726</v>
      </c>
      <c r="Q418"/>
    </row>
    <row r="419" spans="1:17" ht="12.75" hidden="1" customHeight="1" x14ac:dyDescent="0.25">
      <c r="A419"/>
      <c r="B419" s="427"/>
      <c r="C419" s="134" t="s">
        <v>63</v>
      </c>
      <c r="D419" s="19">
        <v>1835</v>
      </c>
      <c r="E419" s="20">
        <v>1459</v>
      </c>
      <c r="F419" s="20">
        <f>2918+697+1391</f>
        <v>5006</v>
      </c>
      <c r="G419" s="20">
        <v>4288</v>
      </c>
      <c r="H419" s="20">
        <v>2913</v>
      </c>
      <c r="I419" s="20">
        <v>3076</v>
      </c>
      <c r="J419" s="20">
        <v>2922</v>
      </c>
      <c r="K419" s="20">
        <v>1574</v>
      </c>
      <c r="L419" s="20">
        <v>3109</v>
      </c>
      <c r="M419" s="20">
        <v>1793</v>
      </c>
      <c r="N419" s="20">
        <v>2217</v>
      </c>
      <c r="O419" s="20">
        <v>1710</v>
      </c>
      <c r="P419" s="21">
        <f t="shared" si="101"/>
        <v>31902</v>
      </c>
      <c r="Q419"/>
    </row>
    <row r="420" spans="1:17" ht="12.75" hidden="1" customHeight="1" x14ac:dyDescent="0.25">
      <c r="A420"/>
      <c r="B420" s="427"/>
      <c r="C420" s="134" t="s">
        <v>43</v>
      </c>
      <c r="D420" s="19">
        <v>1766</v>
      </c>
      <c r="E420" s="20">
        <v>1534</v>
      </c>
      <c r="F420" s="20">
        <v>2612</v>
      </c>
      <c r="G420" s="20">
        <v>1718</v>
      </c>
      <c r="H420" s="20">
        <v>2353</v>
      </c>
      <c r="I420" s="20">
        <v>3115</v>
      </c>
      <c r="J420" s="20">
        <v>1686</v>
      </c>
      <c r="K420" s="20">
        <v>1664</v>
      </c>
      <c r="L420" s="20">
        <v>2196</v>
      </c>
      <c r="M420" s="20">
        <v>3063</v>
      </c>
      <c r="N420" s="20">
        <v>7490</v>
      </c>
      <c r="O420" s="20">
        <v>6947</v>
      </c>
      <c r="P420" s="21">
        <f t="shared" si="101"/>
        <v>36144</v>
      </c>
      <c r="Q420"/>
    </row>
    <row r="421" spans="1:17" ht="12.75" hidden="1" customHeight="1" x14ac:dyDescent="0.25">
      <c r="A421"/>
      <c r="B421" s="427"/>
      <c r="C421" s="134" t="s">
        <v>73</v>
      </c>
      <c r="D421" s="19">
        <v>81</v>
      </c>
      <c r="E421" s="20">
        <v>443</v>
      </c>
      <c r="F421" s="20">
        <v>706</v>
      </c>
      <c r="G421" s="20">
        <v>795</v>
      </c>
      <c r="H421" s="20">
        <v>270</v>
      </c>
      <c r="I421" s="20">
        <v>317</v>
      </c>
      <c r="J421" s="20">
        <v>700</v>
      </c>
      <c r="K421" s="20">
        <v>675</v>
      </c>
      <c r="L421" s="20">
        <v>461</v>
      </c>
      <c r="M421" s="20">
        <v>640</v>
      </c>
      <c r="N421" s="20">
        <v>365</v>
      </c>
      <c r="O421" s="20">
        <v>333</v>
      </c>
      <c r="P421" s="148">
        <f t="shared" si="101"/>
        <v>5786</v>
      </c>
      <c r="Q421"/>
    </row>
    <row r="422" spans="1:17" ht="12.75" hidden="1" customHeight="1" x14ac:dyDescent="0.25">
      <c r="A422"/>
      <c r="B422" s="427"/>
      <c r="C422" s="131" t="s">
        <v>5</v>
      </c>
      <c r="D422" s="22">
        <v>3204</v>
      </c>
      <c r="E422" s="23">
        <v>2978</v>
      </c>
      <c r="F422" s="23">
        <v>5788</v>
      </c>
      <c r="G422" s="23">
        <v>3468</v>
      </c>
      <c r="H422" s="23">
        <v>5765</v>
      </c>
      <c r="I422" s="23">
        <v>4901</v>
      </c>
      <c r="J422" s="23">
        <v>6252</v>
      </c>
      <c r="K422" s="23">
        <v>6224</v>
      </c>
      <c r="L422" s="23">
        <v>4520</v>
      </c>
      <c r="M422" s="23">
        <v>4003</v>
      </c>
      <c r="N422" s="23">
        <v>5157</v>
      </c>
      <c r="O422" s="23">
        <v>5318</v>
      </c>
      <c r="P422" s="59">
        <f t="shared" si="101"/>
        <v>57578</v>
      </c>
      <c r="Q422"/>
    </row>
    <row r="423" spans="1:17" ht="12.75" hidden="1" customHeight="1" x14ac:dyDescent="0.25">
      <c r="A423"/>
      <c r="B423" s="427"/>
      <c r="C423" s="131" t="s">
        <v>82</v>
      </c>
      <c r="D423" s="22">
        <v>5173</v>
      </c>
      <c r="E423" s="23">
        <v>2618</v>
      </c>
      <c r="F423" s="23">
        <v>6293</v>
      </c>
      <c r="G423" s="23">
        <v>5873</v>
      </c>
      <c r="H423" s="23">
        <v>4177</v>
      </c>
      <c r="I423" s="23">
        <v>6895</v>
      </c>
      <c r="J423" s="23">
        <v>6071</v>
      </c>
      <c r="K423" s="23">
        <v>4433</v>
      </c>
      <c r="L423" s="23">
        <v>5069</v>
      </c>
      <c r="M423" s="23">
        <v>6514</v>
      </c>
      <c r="N423" s="23">
        <v>5706</v>
      </c>
      <c r="O423" s="23">
        <v>5969</v>
      </c>
      <c r="P423" s="24">
        <f t="shared" si="101"/>
        <v>64791</v>
      </c>
      <c r="Q423"/>
    </row>
    <row r="424" spans="1:17" ht="12.75" hidden="1" customHeight="1" thickBot="1" x14ac:dyDescent="0.3">
      <c r="A424"/>
      <c r="B424" s="434"/>
      <c r="C424" s="135" t="s">
        <v>0</v>
      </c>
      <c r="D424" s="26">
        <f t="shared" ref="D424:P424" si="102">SUM(D418:D423)</f>
        <v>13769</v>
      </c>
      <c r="E424" s="26">
        <f t="shared" si="102"/>
        <v>9616</v>
      </c>
      <c r="F424" s="26">
        <f t="shared" si="102"/>
        <v>22526</v>
      </c>
      <c r="G424" s="26">
        <f t="shared" si="102"/>
        <v>18116</v>
      </c>
      <c r="H424" s="26">
        <f t="shared" si="102"/>
        <v>16803</v>
      </c>
      <c r="I424" s="26">
        <f t="shared" si="102"/>
        <v>20479</v>
      </c>
      <c r="J424" s="26">
        <f t="shared" si="102"/>
        <v>19185</v>
      </c>
      <c r="K424" s="26">
        <f t="shared" si="102"/>
        <v>15599</v>
      </c>
      <c r="L424" s="26">
        <f>SUM(L418:L423)</f>
        <v>16930</v>
      </c>
      <c r="M424" s="26">
        <f t="shared" si="102"/>
        <v>17028</v>
      </c>
      <c r="N424" s="26">
        <f t="shared" si="102"/>
        <v>22124</v>
      </c>
      <c r="O424" s="26">
        <f t="shared" si="102"/>
        <v>21752</v>
      </c>
      <c r="P424" s="27">
        <f t="shared" si="102"/>
        <v>213927</v>
      </c>
      <c r="Q424"/>
    </row>
    <row r="425" spans="1:17" ht="12.75" hidden="1" customHeight="1" x14ac:dyDescent="0.25">
      <c r="A425"/>
      <c r="B425" s="416" t="s">
        <v>6</v>
      </c>
      <c r="C425" s="129" t="s">
        <v>8</v>
      </c>
      <c r="D425" s="28">
        <v>2648</v>
      </c>
      <c r="E425" s="29">
        <v>1268</v>
      </c>
      <c r="F425" s="29">
        <v>2897</v>
      </c>
      <c r="G425" s="29">
        <v>3075</v>
      </c>
      <c r="H425" s="29">
        <v>3245</v>
      </c>
      <c r="I425" s="29">
        <v>4409</v>
      </c>
      <c r="J425" s="29">
        <v>4475</v>
      </c>
      <c r="K425" s="29">
        <v>1951</v>
      </c>
      <c r="L425" s="29">
        <v>2820</v>
      </c>
      <c r="M425" s="29">
        <v>3254</v>
      </c>
      <c r="N425" s="29">
        <v>3047</v>
      </c>
      <c r="O425" s="29">
        <v>3101</v>
      </c>
      <c r="P425" s="30">
        <f>SUM(D425:O425)</f>
        <v>36190</v>
      </c>
      <c r="Q425"/>
    </row>
    <row r="426" spans="1:17" ht="12.75" hidden="1" customHeight="1" x14ac:dyDescent="0.25">
      <c r="A426"/>
      <c r="B426" s="417"/>
      <c r="C426" s="134" t="s">
        <v>9</v>
      </c>
      <c r="D426" s="19">
        <v>7480</v>
      </c>
      <c r="E426" s="20">
        <v>7875</v>
      </c>
      <c r="F426" s="20">
        <f>8409+765</f>
        <v>9174</v>
      </c>
      <c r="G426" s="20">
        <v>7570</v>
      </c>
      <c r="H426" s="20">
        <v>6322</v>
      </c>
      <c r="I426" s="20">
        <v>7641</v>
      </c>
      <c r="J426" s="20">
        <v>9172</v>
      </c>
      <c r="K426" s="20">
        <v>7118</v>
      </c>
      <c r="L426" s="20">
        <v>8995</v>
      </c>
      <c r="M426" s="20">
        <v>8523</v>
      </c>
      <c r="N426" s="20">
        <v>8062</v>
      </c>
      <c r="O426" s="20">
        <v>7262</v>
      </c>
      <c r="P426" s="21">
        <f>SUM(D426:O426)</f>
        <v>95194</v>
      </c>
      <c r="Q426"/>
    </row>
    <row r="427" spans="1:17" ht="12.75" hidden="1" customHeight="1" thickBot="1" x14ac:dyDescent="0.3">
      <c r="A427"/>
      <c r="B427" s="418"/>
      <c r="C427" s="133" t="s">
        <v>0</v>
      </c>
      <c r="D427" s="32">
        <f t="shared" ref="D427:L427" si="103">SUM(D425:D426)</f>
        <v>10128</v>
      </c>
      <c r="E427" s="32">
        <f t="shared" si="103"/>
        <v>9143</v>
      </c>
      <c r="F427" s="32">
        <f t="shared" si="103"/>
        <v>12071</v>
      </c>
      <c r="G427" s="32">
        <f t="shared" si="103"/>
        <v>10645</v>
      </c>
      <c r="H427" s="32">
        <f t="shared" si="103"/>
        <v>9567</v>
      </c>
      <c r="I427" s="32">
        <f t="shared" si="103"/>
        <v>12050</v>
      </c>
      <c r="J427" s="32">
        <f t="shared" si="103"/>
        <v>13647</v>
      </c>
      <c r="K427" s="32">
        <f t="shared" si="103"/>
        <v>9069</v>
      </c>
      <c r="L427" s="32">
        <f t="shared" si="103"/>
        <v>11815</v>
      </c>
      <c r="M427" s="32">
        <f>SUM(M425:M426)</f>
        <v>11777</v>
      </c>
      <c r="N427" s="32">
        <f>SUM(N425:N426)</f>
        <v>11109</v>
      </c>
      <c r="O427" s="32">
        <f>SUM(O425:O426)</f>
        <v>10363</v>
      </c>
      <c r="P427" s="33">
        <f>SUM(P425:P426)</f>
        <v>131384</v>
      </c>
      <c r="Q427"/>
    </row>
    <row r="428" spans="1:17" ht="12.75" hidden="1" customHeight="1" x14ac:dyDescent="0.25">
      <c r="A428"/>
      <c r="B428" s="416" t="s">
        <v>7</v>
      </c>
      <c r="C428" s="129" t="s">
        <v>10</v>
      </c>
      <c r="D428" s="28">
        <f>152+69+194+116</f>
        <v>531</v>
      </c>
      <c r="E428" s="29">
        <f>240+57+141+130</f>
        <v>568</v>
      </c>
      <c r="F428" s="29">
        <f>152+73+301+131</f>
        <v>657</v>
      </c>
      <c r="G428" s="29">
        <f>193+111+306+116</f>
        <v>726</v>
      </c>
      <c r="H428" s="29">
        <f>200+71+247+122</f>
        <v>640</v>
      </c>
      <c r="I428" s="29">
        <f>253+78+250+101</f>
        <v>682</v>
      </c>
      <c r="J428" s="29">
        <v>477</v>
      </c>
      <c r="K428" s="29">
        <v>359</v>
      </c>
      <c r="L428" s="29">
        <v>453</v>
      </c>
      <c r="M428" s="29">
        <v>596</v>
      </c>
      <c r="N428" s="29">
        <v>592</v>
      </c>
      <c r="O428" s="29">
        <v>556</v>
      </c>
      <c r="P428" s="30">
        <f>SUM(D428:O428)</f>
        <v>6837</v>
      </c>
      <c r="Q428"/>
    </row>
    <row r="429" spans="1:17" ht="12.75" hidden="1" customHeight="1" x14ac:dyDescent="0.25">
      <c r="A429"/>
      <c r="B429" s="417"/>
      <c r="C429" s="134" t="s">
        <v>11</v>
      </c>
      <c r="D429" s="19">
        <f>672+404+396</f>
        <v>1472</v>
      </c>
      <c r="E429" s="20">
        <f>504+315+446</f>
        <v>1265</v>
      </c>
      <c r="F429" s="20">
        <f>891+606+546</f>
        <v>2043</v>
      </c>
      <c r="G429" s="20">
        <f>736+573+93+474</f>
        <v>1876</v>
      </c>
      <c r="H429" s="20">
        <f>732+495+116+417</f>
        <v>1760</v>
      </c>
      <c r="I429" s="20">
        <f>764+456+113+435</f>
        <v>1768</v>
      </c>
      <c r="J429" s="20">
        <v>1744</v>
      </c>
      <c r="K429" s="20">
        <v>1454</v>
      </c>
      <c r="L429" s="20">
        <v>1675</v>
      </c>
      <c r="M429" s="20">
        <v>1719</v>
      </c>
      <c r="N429" s="20">
        <v>1839</v>
      </c>
      <c r="O429" s="20">
        <v>1617</v>
      </c>
      <c r="P429" s="21">
        <f>SUM(D429:O429)</f>
        <v>20232</v>
      </c>
      <c r="Q429"/>
    </row>
    <row r="430" spans="1:17" ht="12.75" hidden="1" customHeight="1" thickBot="1" x14ac:dyDescent="0.3">
      <c r="A430"/>
      <c r="B430" s="418"/>
      <c r="C430" s="133" t="s">
        <v>0</v>
      </c>
      <c r="D430" s="32">
        <f t="shared" ref="D430:P430" si="104">SUM(D428:D429)</f>
        <v>2003</v>
      </c>
      <c r="E430" s="32">
        <f t="shared" si="104"/>
        <v>1833</v>
      </c>
      <c r="F430" s="32">
        <f t="shared" si="104"/>
        <v>2700</v>
      </c>
      <c r="G430" s="32">
        <f t="shared" si="104"/>
        <v>2602</v>
      </c>
      <c r="H430" s="32">
        <f t="shared" si="104"/>
        <v>2400</v>
      </c>
      <c r="I430" s="32">
        <f t="shared" si="104"/>
        <v>2450</v>
      </c>
      <c r="J430" s="32">
        <f>SUM(J428:J429)</f>
        <v>2221</v>
      </c>
      <c r="K430" s="32">
        <f t="shared" si="104"/>
        <v>1813</v>
      </c>
      <c r="L430" s="32">
        <f t="shared" si="104"/>
        <v>2128</v>
      </c>
      <c r="M430" s="32">
        <f t="shared" si="104"/>
        <v>2315</v>
      </c>
      <c r="N430" s="32">
        <f t="shared" si="104"/>
        <v>2431</v>
      </c>
      <c r="O430" s="32">
        <f t="shared" si="104"/>
        <v>2173</v>
      </c>
      <c r="P430" s="33">
        <f t="shared" si="104"/>
        <v>27069</v>
      </c>
      <c r="Q430"/>
    </row>
    <row r="431" spans="1:17" ht="12.75" hidden="1" customHeight="1" x14ac:dyDescent="0.25">
      <c r="A431"/>
      <c r="B431" s="429" t="s">
        <v>4</v>
      </c>
      <c r="C431" s="129" t="s">
        <v>65</v>
      </c>
      <c r="D431" s="110">
        <v>637</v>
      </c>
      <c r="E431" s="110">
        <v>549</v>
      </c>
      <c r="F431" s="110">
        <v>1109</v>
      </c>
      <c r="G431" s="110">
        <v>826</v>
      </c>
      <c r="H431" s="110">
        <v>613</v>
      </c>
      <c r="I431" s="110">
        <v>981</v>
      </c>
      <c r="J431" s="110">
        <v>489</v>
      </c>
      <c r="K431" s="110">
        <v>448</v>
      </c>
      <c r="L431" s="110">
        <v>451</v>
      </c>
      <c r="M431" s="110">
        <v>233</v>
      </c>
      <c r="N431" s="110">
        <v>350</v>
      </c>
      <c r="O431" s="110">
        <v>1224</v>
      </c>
      <c r="P431" s="111">
        <f>SUM(D431:O431)</f>
        <v>7910</v>
      </c>
      <c r="Q431"/>
    </row>
    <row r="432" spans="1:17" ht="12.75" hidden="1" customHeight="1" x14ac:dyDescent="0.25">
      <c r="A432"/>
      <c r="B432" s="430"/>
      <c r="C432" s="136" t="s">
        <v>67</v>
      </c>
      <c r="D432" s="99">
        <v>1186</v>
      </c>
      <c r="E432" s="99">
        <v>783</v>
      </c>
      <c r="F432" s="99">
        <f>546+71</f>
        <v>617</v>
      </c>
      <c r="G432" s="99">
        <v>4416</v>
      </c>
      <c r="H432" s="99">
        <v>7582</v>
      </c>
      <c r="I432" s="99">
        <v>7905</v>
      </c>
      <c r="J432" s="99">
        <v>6504</v>
      </c>
      <c r="K432" s="99">
        <v>4100</v>
      </c>
      <c r="L432" s="99">
        <v>6040</v>
      </c>
      <c r="M432" s="99">
        <v>5268</v>
      </c>
      <c r="N432" s="99">
        <v>5019</v>
      </c>
      <c r="O432" s="99">
        <v>6730</v>
      </c>
      <c r="P432" s="100">
        <f>SUM(D432:O432)</f>
        <v>56150</v>
      </c>
      <c r="Q432"/>
    </row>
    <row r="433" spans="1:17" ht="11" hidden="1" customHeight="1" x14ac:dyDescent="0.25">
      <c r="A433"/>
      <c r="B433" s="430"/>
      <c r="C433" s="131" t="s">
        <v>80</v>
      </c>
      <c r="D433" s="22">
        <v>830</v>
      </c>
      <c r="E433" s="23">
        <v>683</v>
      </c>
      <c r="F433" s="23">
        <v>1209</v>
      </c>
      <c r="G433" s="23">
        <v>651</v>
      </c>
      <c r="H433" s="23">
        <v>601</v>
      </c>
      <c r="I433" s="23">
        <v>701</v>
      </c>
      <c r="J433" s="23">
        <v>1117</v>
      </c>
      <c r="K433" s="23">
        <v>704</v>
      </c>
      <c r="L433" s="23">
        <v>882</v>
      </c>
      <c r="M433" s="23">
        <v>915</v>
      </c>
      <c r="N433" s="23">
        <v>925</v>
      </c>
      <c r="O433" s="23">
        <v>791</v>
      </c>
      <c r="P433" s="24">
        <f>SUM(D433:O433)</f>
        <v>10009</v>
      </c>
      <c r="Q433"/>
    </row>
    <row r="434" spans="1:17" hidden="1" x14ac:dyDescent="0.25">
      <c r="A434"/>
      <c r="B434" s="430"/>
      <c r="C434" s="131" t="s">
        <v>110</v>
      </c>
      <c r="D434" s="22">
        <v>0</v>
      </c>
      <c r="E434" s="23">
        <v>0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15</v>
      </c>
      <c r="O434" s="23">
        <v>83</v>
      </c>
      <c r="P434" s="24">
        <f>SUM(D434:O434)</f>
        <v>98</v>
      </c>
    </row>
    <row r="435" spans="1:17" ht="9.75" hidden="1" customHeight="1" x14ac:dyDescent="0.25">
      <c r="A435"/>
      <c r="B435" s="430"/>
      <c r="C435" s="131" t="s">
        <v>97</v>
      </c>
      <c r="D435" s="22">
        <v>347</v>
      </c>
      <c r="E435" s="23">
        <v>1176</v>
      </c>
      <c r="F435" s="23">
        <v>3268</v>
      </c>
      <c r="G435" s="23">
        <v>4324</v>
      </c>
      <c r="H435" s="23">
        <v>4164</v>
      </c>
      <c r="I435" s="23">
        <v>3728</v>
      </c>
      <c r="J435" s="23">
        <v>3009</v>
      </c>
      <c r="K435" s="23">
        <v>1810</v>
      </c>
      <c r="L435" s="23">
        <v>2918</v>
      </c>
      <c r="M435" s="23">
        <v>2743</v>
      </c>
      <c r="N435" s="23">
        <v>3258</v>
      </c>
      <c r="O435" s="23">
        <v>3472</v>
      </c>
      <c r="P435" s="24">
        <f>SUM(D435:O435)</f>
        <v>34217</v>
      </c>
    </row>
    <row r="436" spans="1:17" ht="9.75" hidden="1" customHeight="1" thickBot="1" x14ac:dyDescent="0.3">
      <c r="A436"/>
      <c r="B436" s="431"/>
      <c r="C436" s="31" t="s">
        <v>0</v>
      </c>
      <c r="D436" s="32">
        <f>SUM(D431:D435)</f>
        <v>3000</v>
      </c>
      <c r="E436" s="32">
        <f t="shared" ref="E436:P436" si="105">SUM(E431:E435)</f>
        <v>3191</v>
      </c>
      <c r="F436" s="32">
        <f t="shared" si="105"/>
        <v>6203</v>
      </c>
      <c r="G436" s="32">
        <f t="shared" si="105"/>
        <v>10217</v>
      </c>
      <c r="H436" s="32">
        <f t="shared" si="105"/>
        <v>12960</v>
      </c>
      <c r="I436" s="32">
        <f t="shared" si="105"/>
        <v>13315</v>
      </c>
      <c r="J436" s="32">
        <f t="shared" si="105"/>
        <v>11119</v>
      </c>
      <c r="K436" s="32">
        <f t="shared" si="105"/>
        <v>7062</v>
      </c>
      <c r="L436" s="32">
        <f t="shared" si="105"/>
        <v>10291</v>
      </c>
      <c r="M436" s="32">
        <f t="shared" si="105"/>
        <v>9159</v>
      </c>
      <c r="N436" s="32">
        <f t="shared" si="105"/>
        <v>9567</v>
      </c>
      <c r="O436" s="32">
        <f t="shared" si="105"/>
        <v>12300</v>
      </c>
      <c r="P436" s="32">
        <f t="shared" si="105"/>
        <v>108384</v>
      </c>
    </row>
    <row r="437" spans="1:17" ht="9.75" hidden="1" customHeight="1" thickBot="1" x14ac:dyDescent="0.3">
      <c r="A437"/>
      <c r="B437" s="435" t="s">
        <v>2</v>
      </c>
      <c r="C437" s="436"/>
      <c r="D437" s="34">
        <f t="shared" ref="D437:O437" si="106">D417+D424+D430+D427+D436</f>
        <v>47591</v>
      </c>
      <c r="E437" s="34">
        <f t="shared" si="106"/>
        <v>39290</v>
      </c>
      <c r="F437" s="34">
        <f t="shared" si="106"/>
        <v>72180</v>
      </c>
      <c r="G437" s="34">
        <f t="shared" si="106"/>
        <v>71042</v>
      </c>
      <c r="H437" s="34">
        <f t="shared" si="106"/>
        <v>70810</v>
      </c>
      <c r="I437" s="34">
        <f t="shared" si="106"/>
        <v>83700</v>
      </c>
      <c r="J437" s="34">
        <f>J417+J424+J430+J427+J436</f>
        <v>77381</v>
      </c>
      <c r="K437" s="34">
        <f t="shared" si="106"/>
        <v>54590</v>
      </c>
      <c r="L437" s="34">
        <f t="shared" si="106"/>
        <v>67080</v>
      </c>
      <c r="M437" s="34">
        <f t="shared" si="106"/>
        <v>65669</v>
      </c>
      <c r="N437" s="34">
        <f t="shared" si="106"/>
        <v>70035</v>
      </c>
      <c r="O437" s="34">
        <f t="shared" si="106"/>
        <v>68486</v>
      </c>
      <c r="P437" s="34">
        <f>SUM(P417,P424,P436,P427,P430)</f>
        <v>787854</v>
      </c>
    </row>
    <row r="438" spans="1:17" ht="4.5" hidden="1" customHeight="1" x14ac:dyDescent="0.25">
      <c r="A438"/>
      <c r="J438" s="92"/>
      <c r="Q438"/>
    </row>
    <row r="439" spans="1:17" hidden="1" x14ac:dyDescent="0.25">
      <c r="A439"/>
      <c r="B439" s="63" t="s">
        <v>20</v>
      </c>
      <c r="C439" s="64"/>
      <c r="D439" s="65">
        <f>SUM(D440:D442)</f>
        <v>2638</v>
      </c>
      <c r="E439" s="65">
        <f t="shared" ref="E439:O439" si="107">SUM(E440:E442)</f>
        <v>2575</v>
      </c>
      <c r="F439" s="65">
        <f t="shared" si="107"/>
        <v>3886</v>
      </c>
      <c r="G439" s="65">
        <f t="shared" si="107"/>
        <v>8249</v>
      </c>
      <c r="H439" s="65">
        <f t="shared" si="107"/>
        <v>9382</v>
      </c>
      <c r="I439" s="65">
        <f t="shared" si="107"/>
        <v>10875</v>
      </c>
      <c r="J439" s="65">
        <f t="shared" si="107"/>
        <v>11037</v>
      </c>
      <c r="K439" s="65">
        <f t="shared" si="107"/>
        <v>5792</v>
      </c>
      <c r="L439" s="65">
        <f t="shared" si="107"/>
        <v>9136</v>
      </c>
      <c r="M439" s="65">
        <f t="shared" si="107"/>
        <v>8316</v>
      </c>
      <c r="N439" s="65">
        <f t="shared" si="107"/>
        <v>7477</v>
      </c>
      <c r="O439" s="65">
        <f t="shared" si="107"/>
        <v>8368</v>
      </c>
      <c r="P439" s="66">
        <f>SUM(P440:P442)</f>
        <v>87731</v>
      </c>
    </row>
    <row r="440" spans="1:17" ht="9.75" hidden="1" customHeight="1" x14ac:dyDescent="0.25">
      <c r="A440"/>
      <c r="B440" s="67"/>
      <c r="C440" s="68" t="s">
        <v>101</v>
      </c>
      <c r="D440" s="79">
        <v>2638</v>
      </c>
      <c r="E440" s="79">
        <v>2575</v>
      </c>
      <c r="F440" s="69">
        <v>3886</v>
      </c>
      <c r="G440" s="80">
        <v>802</v>
      </c>
      <c r="H440" s="69">
        <v>413</v>
      </c>
      <c r="I440" s="77">
        <v>31</v>
      </c>
      <c r="J440" s="77">
        <v>1</v>
      </c>
      <c r="K440" s="69">
        <v>0</v>
      </c>
      <c r="L440" s="69">
        <v>0</v>
      </c>
      <c r="M440" s="69">
        <v>0</v>
      </c>
      <c r="N440" s="69">
        <v>0</v>
      </c>
      <c r="O440" s="69">
        <v>0</v>
      </c>
      <c r="P440" s="70">
        <f>SUM(D440:O440)</f>
        <v>10346</v>
      </c>
    </row>
    <row r="441" spans="1:17" ht="9.75" hidden="1" customHeight="1" x14ac:dyDescent="0.25">
      <c r="A441"/>
      <c r="B441" s="67"/>
      <c r="C441" s="68" t="s">
        <v>102</v>
      </c>
      <c r="D441" s="79">
        <v>0</v>
      </c>
      <c r="E441" s="79">
        <v>0</v>
      </c>
      <c r="F441" s="69">
        <v>0</v>
      </c>
      <c r="G441" s="80">
        <v>7447</v>
      </c>
      <c r="H441" s="69">
        <v>8969</v>
      </c>
      <c r="I441" s="77">
        <v>10844</v>
      </c>
      <c r="J441" s="78">
        <v>11036</v>
      </c>
      <c r="K441" s="72">
        <v>5751</v>
      </c>
      <c r="L441" s="72">
        <v>8241</v>
      </c>
      <c r="M441" s="72">
        <v>7454</v>
      </c>
      <c r="N441" s="72">
        <v>6713</v>
      </c>
      <c r="O441" s="72">
        <v>7605</v>
      </c>
      <c r="P441" s="70">
        <f>SUM(D441:O441)</f>
        <v>74060</v>
      </c>
    </row>
    <row r="442" spans="1:17" ht="8.4" hidden="1" customHeight="1" x14ac:dyDescent="0.25">
      <c r="A442"/>
      <c r="B442" s="71"/>
      <c r="C442" s="68" t="s">
        <v>103</v>
      </c>
      <c r="D442" s="69">
        <v>0</v>
      </c>
      <c r="E442" s="69">
        <v>0</v>
      </c>
      <c r="F442" s="69">
        <v>0</v>
      </c>
      <c r="G442" s="69">
        <v>0</v>
      </c>
      <c r="H442" s="69">
        <v>0</v>
      </c>
      <c r="I442" s="69">
        <v>0</v>
      </c>
      <c r="J442" s="69">
        <v>0</v>
      </c>
      <c r="K442" s="69">
        <v>41</v>
      </c>
      <c r="L442" s="69">
        <v>895</v>
      </c>
      <c r="M442" s="69">
        <v>862</v>
      </c>
      <c r="N442" s="69">
        <v>764</v>
      </c>
      <c r="O442" s="69">
        <v>763</v>
      </c>
      <c r="P442" s="70">
        <f>SUM(D442:O442)</f>
        <v>3325</v>
      </c>
      <c r="Q442"/>
    </row>
    <row r="443" spans="1:17" ht="8.4" hidden="1" customHeight="1" x14ac:dyDescent="0.25">
      <c r="A443"/>
      <c r="J443" s="92"/>
    </row>
    <row r="444" spans="1:17" ht="9.9" hidden="1" customHeight="1" x14ac:dyDescent="0.25">
      <c r="A444"/>
      <c r="B444" s="63" t="s">
        <v>46</v>
      </c>
      <c r="C444" s="64"/>
      <c r="D444" s="65">
        <f t="shared" ref="D444:P444" si="108">SUM(D445:D446)</f>
        <v>164</v>
      </c>
      <c r="E444" s="65">
        <f t="shared" si="108"/>
        <v>188</v>
      </c>
      <c r="F444" s="65">
        <f t="shared" si="108"/>
        <v>685</v>
      </c>
      <c r="G444" s="65">
        <f t="shared" si="108"/>
        <v>555</v>
      </c>
      <c r="H444" s="65">
        <f t="shared" si="108"/>
        <v>183</v>
      </c>
      <c r="I444" s="65">
        <f t="shared" si="108"/>
        <v>280</v>
      </c>
      <c r="J444" s="65">
        <f t="shared" si="108"/>
        <v>268</v>
      </c>
      <c r="K444" s="65">
        <f t="shared" si="108"/>
        <v>264</v>
      </c>
      <c r="L444" s="65">
        <f t="shared" si="108"/>
        <v>233</v>
      </c>
      <c r="M444" s="65">
        <f t="shared" si="108"/>
        <v>234</v>
      </c>
      <c r="N444" s="65">
        <f t="shared" si="108"/>
        <v>540</v>
      </c>
      <c r="O444" s="65">
        <f t="shared" si="108"/>
        <v>21</v>
      </c>
      <c r="P444" s="66">
        <f t="shared" si="108"/>
        <v>3615</v>
      </c>
    </row>
    <row r="445" spans="1:17" ht="9.9" hidden="1" customHeight="1" x14ac:dyDescent="0.25">
      <c r="A445"/>
      <c r="B445" s="67"/>
      <c r="C445" s="68" t="s">
        <v>92</v>
      </c>
      <c r="D445" s="79">
        <v>2</v>
      </c>
      <c r="E445" s="79">
        <v>104</v>
      </c>
      <c r="F445" s="69">
        <v>276</v>
      </c>
      <c r="G445" s="80">
        <v>121</v>
      </c>
      <c r="H445" s="69">
        <v>83</v>
      </c>
      <c r="I445" s="77">
        <v>152</v>
      </c>
      <c r="J445" s="77">
        <v>181</v>
      </c>
      <c r="K445" s="69">
        <v>189</v>
      </c>
      <c r="L445" s="69">
        <v>166</v>
      </c>
      <c r="M445" s="69">
        <v>103</v>
      </c>
      <c r="N445" s="69">
        <v>121</v>
      </c>
      <c r="O445" s="69">
        <v>11</v>
      </c>
      <c r="P445" s="70">
        <f>SUM(D445:O445)</f>
        <v>1509</v>
      </c>
    </row>
    <row r="446" spans="1:17" ht="9.9" hidden="1" customHeight="1" x14ac:dyDescent="0.25">
      <c r="A446"/>
      <c r="B446" s="71"/>
      <c r="C446" s="68" t="s">
        <v>91</v>
      </c>
      <c r="D446" s="79">
        <v>162</v>
      </c>
      <c r="E446" s="79">
        <v>84</v>
      </c>
      <c r="F446" s="69">
        <v>409</v>
      </c>
      <c r="G446" s="80">
        <v>434</v>
      </c>
      <c r="H446" s="69">
        <v>100</v>
      </c>
      <c r="I446" s="77">
        <v>128</v>
      </c>
      <c r="J446" s="78">
        <v>87</v>
      </c>
      <c r="K446" s="72">
        <v>75</v>
      </c>
      <c r="L446" s="72">
        <v>67</v>
      </c>
      <c r="M446" s="72">
        <v>131</v>
      </c>
      <c r="N446" s="72">
        <v>419</v>
      </c>
      <c r="O446" s="72">
        <v>10</v>
      </c>
      <c r="P446" s="70">
        <f>SUM(D446:O446)</f>
        <v>2106</v>
      </c>
    </row>
    <row r="447" spans="1:17" ht="9.9" hidden="1" customHeight="1" x14ac:dyDescent="0.25">
      <c r="A447"/>
      <c r="J447" s="92"/>
    </row>
    <row r="448" spans="1:17" ht="9.65" hidden="1" customHeight="1" x14ac:dyDescent="0.25">
      <c r="A448"/>
      <c r="B448" s="73" t="s">
        <v>21</v>
      </c>
      <c r="C448" s="74"/>
      <c r="D448" s="65">
        <f>D449+D450+D452+D451</f>
        <v>6423</v>
      </c>
      <c r="E448" s="65">
        <f t="shared" ref="E448:P448" si="109">E449+E450+E452+E451</f>
        <v>5022</v>
      </c>
      <c r="F448" s="65">
        <f t="shared" si="109"/>
        <v>7253</v>
      </c>
      <c r="G448" s="65">
        <f t="shared" si="109"/>
        <v>5385</v>
      </c>
      <c r="H448" s="65">
        <f t="shared" si="109"/>
        <v>5827</v>
      </c>
      <c r="I448" s="65">
        <f t="shared" si="109"/>
        <v>8063</v>
      </c>
      <c r="J448" s="65">
        <f t="shared" si="109"/>
        <v>5213</v>
      </c>
      <c r="K448" s="65">
        <f t="shared" si="109"/>
        <v>4595</v>
      </c>
      <c r="L448" s="65">
        <f t="shared" si="109"/>
        <v>4589</v>
      </c>
      <c r="M448" s="65">
        <f t="shared" si="109"/>
        <v>5670</v>
      </c>
      <c r="N448" s="65">
        <f t="shared" si="109"/>
        <v>5038</v>
      </c>
      <c r="O448" s="65">
        <f t="shared" si="109"/>
        <v>4362</v>
      </c>
      <c r="P448" s="65">
        <f t="shared" si="109"/>
        <v>67440</v>
      </c>
    </row>
    <row r="449" spans="1:16" hidden="1" x14ac:dyDescent="0.25">
      <c r="A449"/>
      <c r="B449" s="67"/>
      <c r="C449" s="68" t="s">
        <v>40</v>
      </c>
      <c r="D449" s="93">
        <v>1668</v>
      </c>
      <c r="E449" s="93">
        <v>1783</v>
      </c>
      <c r="F449" s="93">
        <v>1729</v>
      </c>
      <c r="G449" s="69">
        <v>1451</v>
      </c>
      <c r="H449" s="69">
        <v>1597</v>
      </c>
      <c r="I449" s="69">
        <v>1875</v>
      </c>
      <c r="J449" s="69">
        <v>1644</v>
      </c>
      <c r="K449" s="69">
        <v>1447</v>
      </c>
      <c r="L449" s="69">
        <v>1515</v>
      </c>
      <c r="M449" s="69">
        <v>1742</v>
      </c>
      <c r="N449" s="69">
        <v>1507</v>
      </c>
      <c r="O449" s="69">
        <v>1415</v>
      </c>
      <c r="P449" s="70">
        <f>SUM(D449:O449)</f>
        <v>19373</v>
      </c>
    </row>
    <row r="450" spans="1:16" ht="9.75" hidden="1" customHeight="1" x14ac:dyDescent="0.25">
      <c r="A450"/>
      <c r="B450" s="67"/>
      <c r="C450" s="96" t="s">
        <v>90</v>
      </c>
      <c r="D450" s="93">
        <v>0</v>
      </c>
      <c r="E450" s="93">
        <v>0</v>
      </c>
      <c r="F450" s="93">
        <v>0</v>
      </c>
      <c r="G450" s="93">
        <v>0</v>
      </c>
      <c r="H450" s="93">
        <v>0</v>
      </c>
      <c r="I450" s="93">
        <v>0</v>
      </c>
      <c r="J450" s="93">
        <v>0</v>
      </c>
      <c r="K450" s="93">
        <v>0</v>
      </c>
      <c r="L450" s="93">
        <v>0</v>
      </c>
      <c r="M450" s="93">
        <v>0</v>
      </c>
      <c r="N450" s="93">
        <v>0</v>
      </c>
      <c r="O450" s="72">
        <v>0</v>
      </c>
      <c r="P450" s="70">
        <f>SUM(D450:O450)</f>
        <v>0</v>
      </c>
    </row>
    <row r="451" spans="1:16" ht="9.75" hidden="1" customHeight="1" x14ac:dyDescent="0.25">
      <c r="A451"/>
      <c r="B451" s="67"/>
      <c r="C451" s="68" t="s">
        <v>85</v>
      </c>
      <c r="D451" s="69">
        <v>3743</v>
      </c>
      <c r="E451" s="69">
        <v>3044</v>
      </c>
      <c r="F451" s="69">
        <v>4804</v>
      </c>
      <c r="G451" s="69">
        <v>3341</v>
      </c>
      <c r="H451" s="69">
        <v>2924</v>
      </c>
      <c r="I451" s="69">
        <v>5123</v>
      </c>
      <c r="J451" s="69">
        <v>2942</v>
      </c>
      <c r="K451" s="69">
        <v>2604</v>
      </c>
      <c r="L451" s="69">
        <v>2385</v>
      </c>
      <c r="M451" s="69">
        <v>3333</v>
      </c>
      <c r="N451" s="69">
        <v>2433</v>
      </c>
      <c r="O451" s="69">
        <v>2182</v>
      </c>
      <c r="P451" s="70">
        <f>SUM(D451:O451)</f>
        <v>38858</v>
      </c>
    </row>
    <row r="452" spans="1:16" ht="10.25" hidden="1" customHeight="1" x14ac:dyDescent="0.25">
      <c r="A452"/>
      <c r="B452" s="71"/>
      <c r="C452" s="68" t="s">
        <v>88</v>
      </c>
      <c r="D452" s="69">
        <v>1012</v>
      </c>
      <c r="E452" s="69">
        <v>195</v>
      </c>
      <c r="F452" s="69">
        <v>720</v>
      </c>
      <c r="G452" s="69">
        <v>593</v>
      </c>
      <c r="H452" s="69">
        <v>1306</v>
      </c>
      <c r="I452" s="69">
        <v>1065</v>
      </c>
      <c r="J452" s="69">
        <v>627</v>
      </c>
      <c r="K452" s="69">
        <v>544</v>
      </c>
      <c r="L452" s="69">
        <v>689</v>
      </c>
      <c r="M452" s="69">
        <v>595</v>
      </c>
      <c r="N452" s="69">
        <v>1098</v>
      </c>
      <c r="O452" s="69">
        <v>765</v>
      </c>
      <c r="P452" s="70">
        <f>SUM(D452:O452)</f>
        <v>9209</v>
      </c>
    </row>
    <row r="453" spans="1:16" ht="9.9" hidden="1" customHeight="1" x14ac:dyDescent="0.25">
      <c r="A453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6"/>
    </row>
    <row r="454" spans="1:16" ht="9.9" hidden="1" customHeight="1" x14ac:dyDescent="0.25">
      <c r="A454"/>
      <c r="B454" s="63" t="s">
        <v>23</v>
      </c>
      <c r="C454" s="64"/>
      <c r="D454" s="65">
        <f t="shared" ref="D454:P454" si="110">SUM(D455:D456)</f>
        <v>9350</v>
      </c>
      <c r="E454" s="65">
        <f t="shared" si="110"/>
        <v>7550</v>
      </c>
      <c r="F454" s="65">
        <f t="shared" si="110"/>
        <v>16600</v>
      </c>
      <c r="G454" s="65">
        <f t="shared" si="110"/>
        <v>15000</v>
      </c>
      <c r="H454" s="65">
        <f t="shared" si="110"/>
        <v>13416</v>
      </c>
      <c r="I454" s="65">
        <f t="shared" si="110"/>
        <v>15688</v>
      </c>
      <c r="J454" s="65">
        <f t="shared" si="110"/>
        <v>14381</v>
      </c>
      <c r="K454" s="65">
        <f t="shared" si="110"/>
        <v>10235</v>
      </c>
      <c r="L454" s="65">
        <f t="shared" si="110"/>
        <v>11590</v>
      </c>
      <c r="M454" s="65">
        <f t="shared" si="110"/>
        <v>10926</v>
      </c>
      <c r="N454" s="65">
        <f t="shared" si="110"/>
        <v>11648</v>
      </c>
      <c r="O454" s="65">
        <f t="shared" si="110"/>
        <v>9079</v>
      </c>
      <c r="P454" s="65">
        <f t="shared" si="110"/>
        <v>145463</v>
      </c>
    </row>
    <row r="455" spans="1:16" ht="9.9" hidden="1" customHeight="1" x14ac:dyDescent="0.25">
      <c r="A455"/>
      <c r="B455" s="67"/>
      <c r="C455" s="102" t="s">
        <v>56</v>
      </c>
      <c r="D455" s="103">
        <v>6883</v>
      </c>
      <c r="E455" s="103">
        <v>6708</v>
      </c>
      <c r="F455" s="104">
        <v>13568</v>
      </c>
      <c r="G455" s="105">
        <v>11566</v>
      </c>
      <c r="H455" s="104">
        <v>10343</v>
      </c>
      <c r="I455" s="106">
        <v>11651</v>
      </c>
      <c r="J455" s="106">
        <f>10310+453</f>
        <v>10763</v>
      </c>
      <c r="K455" s="104">
        <v>7019</v>
      </c>
      <c r="L455" s="104">
        <v>7372</v>
      </c>
      <c r="M455" s="104">
        <v>6735</v>
      </c>
      <c r="N455" s="104">
        <v>8142</v>
      </c>
      <c r="O455" s="104">
        <v>5724</v>
      </c>
      <c r="P455" s="107">
        <f>SUM(D455:O455)</f>
        <v>106474</v>
      </c>
    </row>
    <row r="456" spans="1:16" ht="9.9" hidden="1" customHeight="1" x14ac:dyDescent="0.25">
      <c r="A456"/>
      <c r="B456" s="71"/>
      <c r="C456" s="68" t="s">
        <v>89</v>
      </c>
      <c r="D456" s="79">
        <v>2467</v>
      </c>
      <c r="E456" s="79">
        <v>842</v>
      </c>
      <c r="F456" s="69">
        <v>3032</v>
      </c>
      <c r="G456" s="80">
        <v>3434</v>
      </c>
      <c r="H456" s="69">
        <v>3073</v>
      </c>
      <c r="I456" s="77">
        <v>4037</v>
      </c>
      <c r="J456" s="78">
        <v>3618</v>
      </c>
      <c r="K456" s="72">
        <v>3216</v>
      </c>
      <c r="L456" s="72">
        <v>4218</v>
      </c>
      <c r="M456" s="72">
        <v>4191</v>
      </c>
      <c r="N456" s="72">
        <v>3506</v>
      </c>
      <c r="O456" s="72">
        <v>3355</v>
      </c>
      <c r="P456" s="70">
        <f>SUM(D456:O456)</f>
        <v>38989</v>
      </c>
    </row>
    <row r="457" spans="1:16" ht="8.4" hidden="1" customHeight="1" x14ac:dyDescent="0.25">
      <c r="A457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6"/>
    </row>
    <row r="458" spans="1:16" ht="9.9" hidden="1" customHeight="1" x14ac:dyDescent="0.25">
      <c r="B458" s="63" t="s">
        <v>63</v>
      </c>
      <c r="C458" s="64"/>
      <c r="D458" s="65">
        <f t="shared" ref="D458:P458" si="111">SUM(D459:D461)</f>
        <v>1835</v>
      </c>
      <c r="E458" s="65">
        <f t="shared" si="111"/>
        <v>1459</v>
      </c>
      <c r="F458" s="65">
        <f t="shared" si="111"/>
        <v>5006</v>
      </c>
      <c r="G458" s="65">
        <f t="shared" si="111"/>
        <v>4288</v>
      </c>
      <c r="H458" s="65">
        <f t="shared" si="111"/>
        <v>2913</v>
      </c>
      <c r="I458" s="65">
        <f t="shared" si="111"/>
        <v>3076</v>
      </c>
      <c r="J458" s="65">
        <f t="shared" si="111"/>
        <v>2922</v>
      </c>
      <c r="K458" s="65">
        <f t="shared" si="111"/>
        <v>1574</v>
      </c>
      <c r="L458" s="65">
        <f t="shared" si="111"/>
        <v>3109</v>
      </c>
      <c r="M458" s="65">
        <f t="shared" si="111"/>
        <v>1793</v>
      </c>
      <c r="N458" s="65">
        <f t="shared" si="111"/>
        <v>2217</v>
      </c>
      <c r="O458" s="65">
        <f t="shared" si="111"/>
        <v>1710</v>
      </c>
      <c r="P458" s="66">
        <f t="shared" si="111"/>
        <v>31902</v>
      </c>
    </row>
    <row r="459" spans="1:16" ht="9.9" hidden="1" customHeight="1" x14ac:dyDescent="0.25">
      <c r="B459" s="67"/>
      <c r="C459" s="68" t="s">
        <v>77</v>
      </c>
      <c r="D459" s="79">
        <v>1372</v>
      </c>
      <c r="E459" s="79">
        <v>1177</v>
      </c>
      <c r="F459" s="69">
        <v>2918</v>
      </c>
      <c r="G459" s="80">
        <v>2116</v>
      </c>
      <c r="H459" s="69">
        <v>1416</v>
      </c>
      <c r="I459" s="77">
        <v>1776</v>
      </c>
      <c r="J459" s="78">
        <v>1503</v>
      </c>
      <c r="K459" s="72">
        <v>533</v>
      </c>
      <c r="L459" s="72">
        <v>1541</v>
      </c>
      <c r="M459" s="72">
        <v>1154</v>
      </c>
      <c r="N459" s="72">
        <v>1330</v>
      </c>
      <c r="O459" s="72">
        <v>1054</v>
      </c>
      <c r="P459" s="70">
        <f>SUM(D459:O459)</f>
        <v>17890</v>
      </c>
    </row>
    <row r="460" spans="1:16" ht="9.9" hidden="1" customHeight="1" x14ac:dyDescent="0.25">
      <c r="B460" s="67"/>
      <c r="C460" s="68" t="s">
        <v>92</v>
      </c>
      <c r="D460" s="79">
        <v>35</v>
      </c>
      <c r="E460" s="79">
        <v>213</v>
      </c>
      <c r="F460" s="69">
        <v>1391</v>
      </c>
      <c r="G460" s="80">
        <v>1232</v>
      </c>
      <c r="H460" s="69">
        <v>531</v>
      </c>
      <c r="I460" s="77">
        <v>737</v>
      </c>
      <c r="J460" s="77">
        <v>999</v>
      </c>
      <c r="K460" s="69">
        <v>870</v>
      </c>
      <c r="L460" s="69">
        <v>1053</v>
      </c>
      <c r="M460" s="69">
        <v>451</v>
      </c>
      <c r="N460" s="69">
        <v>376</v>
      </c>
      <c r="O460" s="69">
        <v>178</v>
      </c>
      <c r="P460" s="70">
        <f>SUM(D460:O460)</f>
        <v>8066</v>
      </c>
    </row>
    <row r="461" spans="1:16" ht="9.65" hidden="1" customHeight="1" x14ac:dyDescent="0.25">
      <c r="B461" s="71"/>
      <c r="C461" s="68" t="s">
        <v>91</v>
      </c>
      <c r="D461" s="79">
        <v>428</v>
      </c>
      <c r="E461" s="79">
        <v>69</v>
      </c>
      <c r="F461" s="69">
        <v>697</v>
      </c>
      <c r="G461" s="80">
        <v>940</v>
      </c>
      <c r="H461" s="69">
        <v>966</v>
      </c>
      <c r="I461" s="77">
        <v>563</v>
      </c>
      <c r="J461" s="77">
        <v>420</v>
      </c>
      <c r="K461" s="69">
        <v>171</v>
      </c>
      <c r="L461" s="69">
        <v>515</v>
      </c>
      <c r="M461" s="69">
        <v>188</v>
      </c>
      <c r="N461" s="69">
        <v>511</v>
      </c>
      <c r="O461" s="69">
        <v>478</v>
      </c>
      <c r="P461" s="70">
        <f>SUM(D461:O461)</f>
        <v>5946</v>
      </c>
    </row>
    <row r="462" spans="1:16" ht="9.65" hidden="1" customHeight="1" x14ac:dyDescent="0.25"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76"/>
    </row>
    <row r="463" spans="1:16" ht="9.9" hidden="1" customHeight="1" x14ac:dyDescent="0.25">
      <c r="B463" s="63" t="s">
        <v>43</v>
      </c>
      <c r="C463" s="64"/>
      <c r="D463" s="65">
        <f t="shared" ref="D463:P463" si="112">SUM(D464:D466)</f>
        <v>1766</v>
      </c>
      <c r="E463" s="65">
        <f t="shared" si="112"/>
        <v>1534</v>
      </c>
      <c r="F463" s="65">
        <f t="shared" si="112"/>
        <v>2612</v>
      </c>
      <c r="G463" s="65">
        <f t="shared" si="112"/>
        <v>1718</v>
      </c>
      <c r="H463" s="65">
        <f t="shared" si="112"/>
        <v>2353</v>
      </c>
      <c r="I463" s="65">
        <f t="shared" si="112"/>
        <v>3115</v>
      </c>
      <c r="J463" s="65">
        <f t="shared" si="112"/>
        <v>1686</v>
      </c>
      <c r="K463" s="65">
        <f t="shared" si="112"/>
        <v>1664</v>
      </c>
      <c r="L463" s="65">
        <f t="shared" si="112"/>
        <v>2196</v>
      </c>
      <c r="M463" s="65">
        <f t="shared" si="112"/>
        <v>3063</v>
      </c>
      <c r="N463" s="65">
        <f t="shared" si="112"/>
        <v>7490</v>
      </c>
      <c r="O463" s="65">
        <f t="shared" si="112"/>
        <v>6947</v>
      </c>
      <c r="P463" s="66">
        <f t="shared" si="112"/>
        <v>36144</v>
      </c>
    </row>
    <row r="464" spans="1:16" ht="9.9" hidden="1" customHeight="1" x14ac:dyDescent="0.25">
      <c r="B464" s="67"/>
      <c r="C464" s="68" t="s">
        <v>104</v>
      </c>
      <c r="D464" s="79">
        <v>1766</v>
      </c>
      <c r="E464" s="79">
        <v>1534</v>
      </c>
      <c r="F464" s="69">
        <v>2612</v>
      </c>
      <c r="G464" s="80">
        <v>1718</v>
      </c>
      <c r="H464" s="69">
        <v>2353</v>
      </c>
      <c r="I464" s="77">
        <v>3115</v>
      </c>
      <c r="J464" s="78">
        <v>1686</v>
      </c>
      <c r="K464" s="72">
        <v>1664</v>
      </c>
      <c r="L464" s="72">
        <v>2191</v>
      </c>
      <c r="M464" s="72">
        <v>2221</v>
      </c>
      <c r="N464" s="72">
        <v>1276</v>
      </c>
      <c r="O464" s="72">
        <v>43</v>
      </c>
      <c r="P464" s="70">
        <f>SUM(D464:O464)</f>
        <v>22179</v>
      </c>
    </row>
    <row r="465" spans="1:17" ht="9.9" hidden="1" customHeight="1" x14ac:dyDescent="0.25">
      <c r="B465" s="67"/>
      <c r="C465" s="68" t="s">
        <v>105</v>
      </c>
      <c r="D465" s="79">
        <v>0</v>
      </c>
      <c r="E465" s="79">
        <v>0</v>
      </c>
      <c r="F465" s="69">
        <v>0</v>
      </c>
      <c r="G465" s="80">
        <v>0</v>
      </c>
      <c r="H465" s="69">
        <v>0</v>
      </c>
      <c r="I465" s="77">
        <v>0</v>
      </c>
      <c r="J465" s="77">
        <v>0</v>
      </c>
      <c r="K465" s="69">
        <v>0</v>
      </c>
      <c r="L465" s="69">
        <v>5</v>
      </c>
      <c r="M465" s="69">
        <v>472</v>
      </c>
      <c r="N465" s="69">
        <v>3231</v>
      </c>
      <c r="O465" s="69">
        <v>3651</v>
      </c>
      <c r="P465" s="70">
        <f>SUM(D465:O465)</f>
        <v>7359</v>
      </c>
    </row>
    <row r="466" spans="1:17" s="147" customFormat="1" ht="11" hidden="1" customHeight="1" x14ac:dyDescent="0.25">
      <c r="A466" s="15"/>
      <c r="B466" s="71"/>
      <c r="C466" s="68" t="s">
        <v>106</v>
      </c>
      <c r="D466" s="79">
        <v>0</v>
      </c>
      <c r="E466" s="79">
        <v>0</v>
      </c>
      <c r="F466" s="69">
        <v>0</v>
      </c>
      <c r="G466" s="80">
        <v>0</v>
      </c>
      <c r="H466" s="69">
        <v>0</v>
      </c>
      <c r="I466" s="77">
        <v>0</v>
      </c>
      <c r="J466" s="77">
        <v>0</v>
      </c>
      <c r="K466" s="69">
        <v>0</v>
      </c>
      <c r="L466" s="69">
        <v>0</v>
      </c>
      <c r="M466" s="69">
        <v>370</v>
      </c>
      <c r="N466" s="69">
        <v>2983</v>
      </c>
      <c r="O466" s="69">
        <v>3253</v>
      </c>
      <c r="P466" s="70">
        <f>SUM(D466:O466)</f>
        <v>6606</v>
      </c>
      <c r="Q466" s="146"/>
    </row>
    <row r="467" spans="1:17" ht="9" hidden="1" customHeight="1" x14ac:dyDescent="0.25"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76"/>
    </row>
    <row r="468" spans="1:17" ht="9.9" hidden="1" customHeight="1" x14ac:dyDescent="0.25">
      <c r="B468" s="63" t="s">
        <v>67</v>
      </c>
      <c r="C468" s="64"/>
      <c r="D468" s="65">
        <f t="shared" ref="D468:P468" si="113">SUM(D469:D470)</f>
        <v>1186</v>
      </c>
      <c r="E468" s="65">
        <f t="shared" si="113"/>
        <v>783</v>
      </c>
      <c r="F468" s="65">
        <f t="shared" si="113"/>
        <v>617</v>
      </c>
      <c r="G468" s="65">
        <f t="shared" si="113"/>
        <v>4416</v>
      </c>
      <c r="H468" s="65">
        <f t="shared" si="113"/>
        <v>7582</v>
      </c>
      <c r="I468" s="65">
        <f t="shared" si="113"/>
        <v>7905</v>
      </c>
      <c r="J468" s="65">
        <f t="shared" si="113"/>
        <v>6504</v>
      </c>
      <c r="K468" s="65">
        <f t="shared" si="113"/>
        <v>4100</v>
      </c>
      <c r="L468" s="65">
        <f t="shared" si="113"/>
        <v>6040</v>
      </c>
      <c r="M468" s="65">
        <f t="shared" si="113"/>
        <v>5268</v>
      </c>
      <c r="N468" s="65">
        <f t="shared" si="113"/>
        <v>5019</v>
      </c>
      <c r="O468" s="65">
        <f t="shared" si="113"/>
        <v>6730</v>
      </c>
      <c r="P468" s="66">
        <f t="shared" si="113"/>
        <v>56150</v>
      </c>
    </row>
    <row r="469" spans="1:17" ht="9.9" hidden="1" customHeight="1" x14ac:dyDescent="0.25">
      <c r="B469" s="67"/>
      <c r="C469" s="68" t="s">
        <v>99</v>
      </c>
      <c r="D469" s="79">
        <v>1186</v>
      </c>
      <c r="E469" s="79">
        <v>783</v>
      </c>
      <c r="F469" s="69">
        <v>546</v>
      </c>
      <c r="G469" s="80">
        <v>259</v>
      </c>
      <c r="H469" s="69">
        <v>66</v>
      </c>
      <c r="I469" s="77">
        <v>16</v>
      </c>
      <c r="J469" s="77">
        <v>40</v>
      </c>
      <c r="K469" s="69">
        <v>1</v>
      </c>
      <c r="L469" s="69">
        <v>0</v>
      </c>
      <c r="M469" s="69">
        <v>0</v>
      </c>
      <c r="N469" s="69">
        <v>0</v>
      </c>
      <c r="O469" s="69">
        <v>0</v>
      </c>
      <c r="P469" s="70">
        <f>SUM(D469:O469)</f>
        <v>2897</v>
      </c>
    </row>
    <row r="470" spans="1:17" s="11" customFormat="1" ht="11" hidden="1" customHeight="1" x14ac:dyDescent="0.25">
      <c r="A470" s="15"/>
      <c r="B470" s="71"/>
      <c r="C470" s="68" t="s">
        <v>100</v>
      </c>
      <c r="D470" s="79">
        <v>0</v>
      </c>
      <c r="E470" s="79">
        <v>0</v>
      </c>
      <c r="F470" s="79">
        <v>71</v>
      </c>
      <c r="G470" s="79">
        <v>4157</v>
      </c>
      <c r="H470" s="79">
        <v>7516</v>
      </c>
      <c r="I470" s="79">
        <v>7889</v>
      </c>
      <c r="J470" s="79">
        <v>6464</v>
      </c>
      <c r="K470" s="79">
        <v>4099</v>
      </c>
      <c r="L470" s="79">
        <v>6040</v>
      </c>
      <c r="M470" s="79">
        <v>5268</v>
      </c>
      <c r="N470" s="72">
        <v>5019</v>
      </c>
      <c r="O470" s="72">
        <v>6730</v>
      </c>
      <c r="P470" s="70">
        <f>SUM(D470:O470)</f>
        <v>53253</v>
      </c>
      <c r="Q470" s="90"/>
    </row>
    <row r="471" spans="1:17" ht="8.4" hidden="1" customHeight="1" x14ac:dyDescent="0.25">
      <c r="A471" s="142"/>
      <c r="B471" s="142"/>
      <c r="C471" s="142"/>
      <c r="D471" s="143"/>
      <c r="E471" s="143"/>
      <c r="F471" s="143"/>
      <c r="G471" s="143"/>
      <c r="H471" s="143"/>
      <c r="I471" s="143"/>
      <c r="J471" s="144"/>
      <c r="K471" s="144"/>
      <c r="L471" s="144"/>
      <c r="M471" s="144"/>
      <c r="N471" s="144"/>
      <c r="O471" s="144"/>
      <c r="P471" s="145"/>
    </row>
    <row r="472" spans="1:17" ht="12.75" hidden="1" customHeight="1" x14ac:dyDescent="0.25">
      <c r="B472" s="63" t="s">
        <v>9</v>
      </c>
      <c r="C472" s="64"/>
      <c r="D472" s="65">
        <f t="shared" ref="D472:P472" si="114">SUM(D473:D474)</f>
        <v>7480</v>
      </c>
      <c r="E472" s="65">
        <f t="shared" si="114"/>
        <v>7875</v>
      </c>
      <c r="F472" s="65">
        <f t="shared" si="114"/>
        <v>9174</v>
      </c>
      <c r="G472" s="65">
        <f t="shared" si="114"/>
        <v>7570</v>
      </c>
      <c r="H472" s="65">
        <f t="shared" si="114"/>
        <v>6322</v>
      </c>
      <c r="I472" s="65">
        <f t="shared" si="114"/>
        <v>7641</v>
      </c>
      <c r="J472" s="65">
        <f t="shared" si="114"/>
        <v>9172</v>
      </c>
      <c r="K472" s="65">
        <f t="shared" si="114"/>
        <v>7118</v>
      </c>
      <c r="L472" s="65">
        <f t="shared" si="114"/>
        <v>8995</v>
      </c>
      <c r="M472" s="65">
        <f t="shared" si="114"/>
        <v>8523</v>
      </c>
      <c r="N472" s="65">
        <f t="shared" si="114"/>
        <v>8062</v>
      </c>
      <c r="O472" s="65">
        <f t="shared" si="114"/>
        <v>7262</v>
      </c>
      <c r="P472" s="66">
        <f t="shared" si="114"/>
        <v>95194</v>
      </c>
    </row>
    <row r="473" spans="1:17" ht="12.75" hidden="1" customHeight="1" x14ac:dyDescent="0.25">
      <c r="B473" s="67"/>
      <c r="C473" s="68" t="s">
        <v>9</v>
      </c>
      <c r="D473" s="79">
        <v>7165</v>
      </c>
      <c r="E473" s="79">
        <v>6916</v>
      </c>
      <c r="F473" s="69">
        <v>8409</v>
      </c>
      <c r="G473" s="80">
        <v>6925</v>
      </c>
      <c r="H473" s="69">
        <v>5804</v>
      </c>
      <c r="I473" s="77">
        <v>7391</v>
      </c>
      <c r="J473" s="77">
        <v>8759</v>
      </c>
      <c r="K473" s="69">
        <v>6514</v>
      </c>
      <c r="L473" s="69">
        <v>7182</v>
      </c>
      <c r="M473" s="69">
        <v>7182</v>
      </c>
      <c r="N473" s="69">
        <v>7100</v>
      </c>
      <c r="O473" s="69">
        <v>6810</v>
      </c>
      <c r="P473" s="70">
        <f>SUM(D473:O473)</f>
        <v>86157</v>
      </c>
      <c r="Q473"/>
    </row>
    <row r="474" spans="1:17" ht="12.75" hidden="1" customHeight="1" x14ac:dyDescent="0.25">
      <c r="A474"/>
      <c r="B474" s="71"/>
      <c r="C474" s="68" t="s">
        <v>92</v>
      </c>
      <c r="D474" s="79">
        <v>315</v>
      </c>
      <c r="E474" s="79">
        <v>959</v>
      </c>
      <c r="F474" s="79">
        <v>765</v>
      </c>
      <c r="G474" s="79">
        <v>645</v>
      </c>
      <c r="H474" s="79">
        <v>518</v>
      </c>
      <c r="I474" s="79">
        <v>250</v>
      </c>
      <c r="J474" s="79">
        <v>413</v>
      </c>
      <c r="K474" s="79">
        <v>604</v>
      </c>
      <c r="L474" s="79">
        <v>1813</v>
      </c>
      <c r="M474" s="79">
        <v>1341</v>
      </c>
      <c r="N474" s="72">
        <v>962</v>
      </c>
      <c r="O474" s="72">
        <v>452</v>
      </c>
      <c r="P474" s="70">
        <f>SUM(D474:O474)</f>
        <v>9037</v>
      </c>
      <c r="Q474"/>
    </row>
    <row r="475" spans="1:17" ht="12.75" hidden="1" customHeight="1" x14ac:dyDescent="0.25">
      <c r="A475" s="11"/>
      <c r="B475" s="11"/>
      <c r="C475" s="1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1"/>
      <c r="Q475"/>
    </row>
    <row r="476" spans="1:17" ht="12.75" hidden="1" customHeight="1" thickBot="1" x14ac:dyDescent="0.3">
      <c r="A476"/>
      <c r="B476" s="13" t="s">
        <v>84</v>
      </c>
      <c r="C476" s="13"/>
      <c r="Q476"/>
    </row>
    <row r="477" spans="1:17" ht="12.75" hidden="1" customHeight="1" thickBot="1" x14ac:dyDescent="0.3">
      <c r="A477"/>
      <c r="B477" s="437" t="s">
        <v>1</v>
      </c>
      <c r="C477" s="438"/>
      <c r="D477" s="16">
        <v>1</v>
      </c>
      <c r="E477" s="17">
        <v>2</v>
      </c>
      <c r="F477" s="17">
        <v>3</v>
      </c>
      <c r="G477" s="17">
        <v>4</v>
      </c>
      <c r="H477" s="17">
        <v>5</v>
      </c>
      <c r="I477" s="17">
        <v>6</v>
      </c>
      <c r="J477" s="17">
        <v>7</v>
      </c>
      <c r="K477" s="17">
        <v>8</v>
      </c>
      <c r="L477" s="17">
        <v>9</v>
      </c>
      <c r="M477" s="17">
        <v>10</v>
      </c>
      <c r="N477" s="17">
        <v>11</v>
      </c>
      <c r="O477" s="17">
        <v>12</v>
      </c>
      <c r="P477" s="18" t="s">
        <v>0</v>
      </c>
      <c r="Q477"/>
    </row>
    <row r="478" spans="1:17" ht="12.75" hidden="1" customHeight="1" x14ac:dyDescent="0.25">
      <c r="A478"/>
      <c r="B478" s="432" t="s">
        <v>37</v>
      </c>
      <c r="C478" s="129" t="s">
        <v>17</v>
      </c>
      <c r="D478" s="28">
        <v>406</v>
      </c>
      <c r="E478" s="29">
        <v>370</v>
      </c>
      <c r="F478" s="28">
        <v>415</v>
      </c>
      <c r="G478" s="29">
        <v>467</v>
      </c>
      <c r="H478" s="29">
        <v>399</v>
      </c>
      <c r="I478" s="29">
        <v>404</v>
      </c>
      <c r="J478" s="29">
        <v>391</v>
      </c>
      <c r="K478" s="29">
        <v>228</v>
      </c>
      <c r="L478" s="29">
        <v>215</v>
      </c>
      <c r="M478" s="29">
        <v>249</v>
      </c>
      <c r="N478" s="29">
        <v>447</v>
      </c>
      <c r="O478" s="29">
        <v>103</v>
      </c>
      <c r="P478" s="30">
        <f t="shared" ref="P478:P485" si="115">SUM(D478:O478)</f>
        <v>4094</v>
      </c>
      <c r="Q478"/>
    </row>
    <row r="479" spans="1:17" ht="12.75" hidden="1" customHeight="1" x14ac:dyDescent="0.25">
      <c r="A479"/>
      <c r="B479" s="433"/>
      <c r="C479" s="130" t="s">
        <v>18</v>
      </c>
      <c r="D479" s="57">
        <v>194</v>
      </c>
      <c r="E479" s="58">
        <v>181</v>
      </c>
      <c r="F479" s="57">
        <v>201</v>
      </c>
      <c r="G479" s="58">
        <v>150</v>
      </c>
      <c r="H479" s="58">
        <v>293</v>
      </c>
      <c r="I479" s="58">
        <v>232</v>
      </c>
      <c r="J479" s="58">
        <v>178</v>
      </c>
      <c r="K479" s="58">
        <v>161</v>
      </c>
      <c r="L479" s="60">
        <v>131</v>
      </c>
      <c r="M479" s="58">
        <v>127</v>
      </c>
      <c r="N479" s="58">
        <v>159</v>
      </c>
      <c r="O479" s="58">
        <v>168</v>
      </c>
      <c r="P479" s="59">
        <f t="shared" si="115"/>
        <v>2175</v>
      </c>
      <c r="Q479"/>
    </row>
    <row r="480" spans="1:17" ht="12.75" hidden="1" customHeight="1" x14ac:dyDescent="0.25">
      <c r="A480"/>
      <c r="B480" s="433"/>
      <c r="C480" s="130" t="s">
        <v>20</v>
      </c>
      <c r="D480" s="57">
        <v>5428</v>
      </c>
      <c r="E480" s="57">
        <v>4973</v>
      </c>
      <c r="F480" s="57">
        <v>5603</v>
      </c>
      <c r="G480" s="57">
        <v>5774</v>
      </c>
      <c r="H480" s="57">
        <v>4752</v>
      </c>
      <c r="I480" s="57">
        <v>5654</v>
      </c>
      <c r="J480" s="57">
        <v>5428</v>
      </c>
      <c r="K480" s="57">
        <v>4893</v>
      </c>
      <c r="L480" s="57">
        <v>4900</v>
      </c>
      <c r="M480" s="57">
        <v>6571</v>
      </c>
      <c r="N480" s="57">
        <v>4475</v>
      </c>
      <c r="O480" s="57">
        <v>3653</v>
      </c>
      <c r="P480" s="24">
        <f t="shared" si="115"/>
        <v>62104</v>
      </c>
      <c r="Q480"/>
    </row>
    <row r="481" spans="1:17" ht="12.75" hidden="1" customHeight="1" x14ac:dyDescent="0.25">
      <c r="A481"/>
      <c r="B481" s="433"/>
      <c r="C481" s="130" t="s">
        <v>46</v>
      </c>
      <c r="D481" s="57">
        <v>136</v>
      </c>
      <c r="E481" s="57">
        <v>283</v>
      </c>
      <c r="F481" s="57">
        <v>623</v>
      </c>
      <c r="G481" s="57">
        <v>498</v>
      </c>
      <c r="H481" s="57">
        <v>423</v>
      </c>
      <c r="I481" s="57">
        <v>713</v>
      </c>
      <c r="J481" s="57">
        <v>705</v>
      </c>
      <c r="K481" s="57">
        <v>679</v>
      </c>
      <c r="L481" s="57">
        <v>624</v>
      </c>
      <c r="M481" s="57">
        <v>457</v>
      </c>
      <c r="N481" s="57">
        <v>352</v>
      </c>
      <c r="O481" s="57">
        <v>534</v>
      </c>
      <c r="P481" s="21">
        <f t="shared" si="115"/>
        <v>6027</v>
      </c>
      <c r="Q481"/>
    </row>
    <row r="482" spans="1:17" ht="12.75" hidden="1" customHeight="1" x14ac:dyDescent="0.25">
      <c r="A482"/>
      <c r="B482" s="433"/>
      <c r="C482" s="131" t="s">
        <v>3</v>
      </c>
      <c r="D482" s="22">
        <v>158</v>
      </c>
      <c r="E482" s="23">
        <v>106</v>
      </c>
      <c r="F482" s="22">
        <v>205</v>
      </c>
      <c r="G482" s="23">
        <v>149</v>
      </c>
      <c r="H482" s="23">
        <v>150</v>
      </c>
      <c r="I482" s="23">
        <v>84</v>
      </c>
      <c r="J482" s="23">
        <v>92</v>
      </c>
      <c r="K482" s="23">
        <v>142</v>
      </c>
      <c r="L482" s="25">
        <v>109</v>
      </c>
      <c r="M482" s="23">
        <v>82</v>
      </c>
      <c r="N482" s="23">
        <v>85</v>
      </c>
      <c r="O482" s="23">
        <v>65</v>
      </c>
      <c r="P482" s="59">
        <f t="shared" si="115"/>
        <v>1427</v>
      </c>
      <c r="Q482"/>
    </row>
    <row r="483" spans="1:17" ht="12.75" hidden="1" customHeight="1" x14ac:dyDescent="0.25">
      <c r="A483"/>
      <c r="B483" s="433"/>
      <c r="C483" s="132" t="s">
        <v>21</v>
      </c>
      <c r="D483" s="56">
        <v>4541</v>
      </c>
      <c r="E483" s="56">
        <v>5680</v>
      </c>
      <c r="F483" s="56">
        <v>6036</v>
      </c>
      <c r="G483" s="56">
        <v>8836</v>
      </c>
      <c r="H483" s="56">
        <v>13376</v>
      </c>
      <c r="I483" s="56">
        <v>9822</v>
      </c>
      <c r="J483" s="56">
        <v>8071</v>
      </c>
      <c r="K483" s="56">
        <v>8393</v>
      </c>
      <c r="L483" s="56">
        <v>7156</v>
      </c>
      <c r="M483" s="56">
        <v>10688</v>
      </c>
      <c r="N483" s="56">
        <v>8832</v>
      </c>
      <c r="O483" s="56">
        <v>8572</v>
      </c>
      <c r="P483" s="59">
        <f t="shared" si="115"/>
        <v>100003</v>
      </c>
      <c r="Q483"/>
    </row>
    <row r="484" spans="1:17" ht="12.75" hidden="1" customHeight="1" x14ac:dyDescent="0.25">
      <c r="A484"/>
      <c r="B484" s="433"/>
      <c r="C484" s="132" t="s">
        <v>35</v>
      </c>
      <c r="D484" s="56">
        <v>7</v>
      </c>
      <c r="E484" s="56">
        <v>14</v>
      </c>
      <c r="F484" s="56">
        <v>16</v>
      </c>
      <c r="G484" s="56">
        <v>6</v>
      </c>
      <c r="H484" s="56">
        <v>16</v>
      </c>
      <c r="I484" s="56">
        <v>2</v>
      </c>
      <c r="J484" s="56">
        <v>0</v>
      </c>
      <c r="K484" s="56">
        <v>2</v>
      </c>
      <c r="L484" s="56">
        <v>0</v>
      </c>
      <c r="M484" s="56">
        <v>0</v>
      </c>
      <c r="N484" s="56">
        <v>0</v>
      </c>
      <c r="O484" s="56">
        <v>0</v>
      </c>
      <c r="P484" s="59">
        <f t="shared" si="115"/>
        <v>63</v>
      </c>
      <c r="Q484"/>
    </row>
    <row r="485" spans="1:17" ht="12.75" hidden="1" customHeight="1" x14ac:dyDescent="0.25">
      <c r="A485"/>
      <c r="B485" s="433"/>
      <c r="C485" s="132" t="s">
        <v>23</v>
      </c>
      <c r="D485" s="55">
        <v>10077</v>
      </c>
      <c r="E485" s="55">
        <v>7720</v>
      </c>
      <c r="F485" s="55">
        <v>10531</v>
      </c>
      <c r="G485" s="55">
        <v>10135</v>
      </c>
      <c r="H485" s="55">
        <v>8327</v>
      </c>
      <c r="I485" s="55">
        <v>6652</v>
      </c>
      <c r="J485" s="55">
        <v>6135</v>
      </c>
      <c r="K485" s="55">
        <v>5514</v>
      </c>
      <c r="L485" s="55">
        <v>4814</v>
      </c>
      <c r="M485" s="55">
        <v>9867</v>
      </c>
      <c r="N485" s="55">
        <v>10407</v>
      </c>
      <c r="O485" s="55">
        <v>13170</v>
      </c>
      <c r="P485" s="59">
        <f t="shared" si="115"/>
        <v>103349</v>
      </c>
      <c r="Q485"/>
    </row>
    <row r="486" spans="1:17" ht="12.75" hidden="1" customHeight="1" thickBot="1" x14ac:dyDescent="0.3">
      <c r="A486"/>
      <c r="B486" s="418"/>
      <c r="C486" s="133" t="s">
        <v>0</v>
      </c>
      <c r="D486" s="32">
        <f t="shared" ref="D486:P486" si="116">SUM(D478:D485)</f>
        <v>20947</v>
      </c>
      <c r="E486" s="32">
        <f t="shared" si="116"/>
        <v>19327</v>
      </c>
      <c r="F486" s="32">
        <f t="shared" si="116"/>
        <v>23630</v>
      </c>
      <c r="G486" s="32">
        <f t="shared" si="116"/>
        <v>26015</v>
      </c>
      <c r="H486" s="32">
        <f t="shared" si="116"/>
        <v>27736</v>
      </c>
      <c r="I486" s="32">
        <f t="shared" si="116"/>
        <v>23563</v>
      </c>
      <c r="J486" s="32">
        <f t="shared" si="116"/>
        <v>21000</v>
      </c>
      <c r="K486" s="32">
        <f t="shared" si="116"/>
        <v>20012</v>
      </c>
      <c r="L486" s="32">
        <f t="shared" si="116"/>
        <v>17949</v>
      </c>
      <c r="M486" s="32">
        <f t="shared" si="116"/>
        <v>28041</v>
      </c>
      <c r="N486" s="32">
        <f t="shared" si="116"/>
        <v>24757</v>
      </c>
      <c r="O486" s="32">
        <f t="shared" si="116"/>
        <v>26265</v>
      </c>
      <c r="P486" s="33">
        <f t="shared" si="116"/>
        <v>279242</v>
      </c>
      <c r="Q486"/>
    </row>
    <row r="487" spans="1:17" ht="12.75" hidden="1" customHeight="1" x14ac:dyDescent="0.25">
      <c r="A487"/>
      <c r="B487" s="427" t="s">
        <v>36</v>
      </c>
      <c r="C487" s="129" t="s">
        <v>87</v>
      </c>
      <c r="D487" s="28">
        <v>0</v>
      </c>
      <c r="E487" s="29">
        <v>0</v>
      </c>
      <c r="F487" s="29">
        <v>0</v>
      </c>
      <c r="G487" s="29">
        <v>0</v>
      </c>
      <c r="H487" s="29">
        <v>0</v>
      </c>
      <c r="I487" s="29">
        <v>0</v>
      </c>
      <c r="J487" s="29">
        <v>1753</v>
      </c>
      <c r="K487" s="29">
        <v>3701</v>
      </c>
      <c r="L487" s="29">
        <v>3690</v>
      </c>
      <c r="M487" s="29">
        <v>2645</v>
      </c>
      <c r="N487" s="29">
        <v>1977</v>
      </c>
      <c r="O487" s="29">
        <v>3101</v>
      </c>
      <c r="P487" s="30">
        <f t="shared" ref="P487:P492" si="117">SUM(D487:O487)</f>
        <v>16867</v>
      </c>
      <c r="Q487"/>
    </row>
    <row r="488" spans="1:17" ht="12.75" hidden="1" customHeight="1" x14ac:dyDescent="0.25">
      <c r="A488"/>
      <c r="B488" s="427"/>
      <c r="C488" s="134" t="s">
        <v>63</v>
      </c>
      <c r="D488" s="19">
        <v>2310</v>
      </c>
      <c r="E488" s="20">
        <v>1955</v>
      </c>
      <c r="F488" s="20">
        <v>4529</v>
      </c>
      <c r="G488" s="20">
        <v>4730</v>
      </c>
      <c r="H488" s="20">
        <v>4328</v>
      </c>
      <c r="I488" s="20">
        <v>3634</v>
      </c>
      <c r="J488" s="20">
        <v>3187</v>
      </c>
      <c r="K488" s="20">
        <v>2474</v>
      </c>
      <c r="L488" s="20">
        <v>3636</v>
      </c>
      <c r="M488" s="20">
        <v>4421</v>
      </c>
      <c r="N488" s="20">
        <v>3720</v>
      </c>
      <c r="O488" s="20">
        <v>3725</v>
      </c>
      <c r="P488" s="21">
        <f t="shared" si="117"/>
        <v>42649</v>
      </c>
      <c r="Q488"/>
    </row>
    <row r="489" spans="1:17" ht="12.75" hidden="1" customHeight="1" x14ac:dyDescent="0.25">
      <c r="A489"/>
      <c r="B489" s="427"/>
      <c r="C489" s="134" t="s">
        <v>43</v>
      </c>
      <c r="D489" s="19">
        <v>3651</v>
      </c>
      <c r="E489" s="20">
        <v>2638</v>
      </c>
      <c r="F489" s="20">
        <v>3693</v>
      </c>
      <c r="G489" s="20">
        <v>3860</v>
      </c>
      <c r="H489" s="20">
        <v>3264</v>
      </c>
      <c r="I489" s="20">
        <v>2976</v>
      </c>
      <c r="J489" s="20">
        <v>3183</v>
      </c>
      <c r="K489" s="20">
        <v>2583</v>
      </c>
      <c r="L489" s="20">
        <v>1620</v>
      </c>
      <c r="M489" s="20">
        <v>2474</v>
      </c>
      <c r="N489" s="20">
        <v>3279</v>
      </c>
      <c r="O489" s="20">
        <v>3537</v>
      </c>
      <c r="P489" s="21">
        <f t="shared" si="117"/>
        <v>36758</v>
      </c>
      <c r="Q489"/>
    </row>
    <row r="490" spans="1:17" ht="12.75" hidden="1" customHeight="1" x14ac:dyDescent="0.25">
      <c r="A490"/>
      <c r="B490" s="427"/>
      <c r="C490" s="134" t="s">
        <v>73</v>
      </c>
      <c r="D490" s="19">
        <v>21</v>
      </c>
      <c r="E490" s="20">
        <v>72</v>
      </c>
      <c r="F490" s="20">
        <v>151</v>
      </c>
      <c r="G490" s="20">
        <v>363</v>
      </c>
      <c r="H490" s="20">
        <v>461</v>
      </c>
      <c r="I490" s="20">
        <v>478</v>
      </c>
      <c r="J490" s="20">
        <v>352</v>
      </c>
      <c r="K490" s="20">
        <v>247</v>
      </c>
      <c r="L490" s="20">
        <v>454</v>
      </c>
      <c r="M490" s="20">
        <v>608</v>
      </c>
      <c r="N490" s="20">
        <v>699</v>
      </c>
      <c r="O490" s="20">
        <v>288</v>
      </c>
      <c r="P490" s="148">
        <f t="shared" si="117"/>
        <v>4194</v>
      </c>
      <c r="Q490"/>
    </row>
    <row r="491" spans="1:17" ht="12.75" hidden="1" customHeight="1" x14ac:dyDescent="0.25">
      <c r="A491"/>
      <c r="B491" s="427"/>
      <c r="C491" s="131" t="s">
        <v>5</v>
      </c>
      <c r="D491" s="22">
        <v>7001</v>
      </c>
      <c r="E491" s="23">
        <v>7023</v>
      </c>
      <c r="F491" s="23">
        <v>8231</v>
      </c>
      <c r="G491" s="23">
        <v>6759</v>
      </c>
      <c r="H491" s="23">
        <v>6882</v>
      </c>
      <c r="I491" s="23">
        <v>8192</v>
      </c>
      <c r="J491" s="23">
        <v>7393</v>
      </c>
      <c r="K491" s="23">
        <v>6858</v>
      </c>
      <c r="L491" s="23">
        <v>7813</v>
      </c>
      <c r="M491" s="23">
        <v>6676</v>
      </c>
      <c r="N491" s="23">
        <v>7001</v>
      </c>
      <c r="O491" s="23">
        <v>6369</v>
      </c>
      <c r="P491" s="59">
        <f t="shared" si="117"/>
        <v>86198</v>
      </c>
      <c r="Q491"/>
    </row>
    <row r="492" spans="1:17" ht="12.75" hidden="1" customHeight="1" x14ac:dyDescent="0.25">
      <c r="A492"/>
      <c r="B492" s="427"/>
      <c r="C492" s="131" t="s">
        <v>82</v>
      </c>
      <c r="D492" s="22">
        <v>5903</v>
      </c>
      <c r="E492" s="23">
        <v>5769</v>
      </c>
      <c r="F492" s="23">
        <v>6377</v>
      </c>
      <c r="G492" s="23">
        <v>6583</v>
      </c>
      <c r="H492" s="23">
        <v>3743</v>
      </c>
      <c r="I492" s="23">
        <v>3127</v>
      </c>
      <c r="J492" s="23">
        <v>3660</v>
      </c>
      <c r="K492" s="23">
        <v>2304</v>
      </c>
      <c r="L492" s="23">
        <v>2241</v>
      </c>
      <c r="M492" s="23">
        <v>3087</v>
      </c>
      <c r="N492" s="23">
        <v>4137</v>
      </c>
      <c r="O492" s="23">
        <v>5368</v>
      </c>
      <c r="P492" s="24">
        <f t="shared" si="117"/>
        <v>52299</v>
      </c>
      <c r="Q492"/>
    </row>
    <row r="493" spans="1:17" ht="12.75" hidden="1" customHeight="1" thickBot="1" x14ac:dyDescent="0.3">
      <c r="A493"/>
      <c r="B493" s="434"/>
      <c r="C493" s="135" t="s">
        <v>0</v>
      </c>
      <c r="D493" s="26">
        <f t="shared" ref="D493:P493" si="118">SUM(D487:D492)</f>
        <v>18886</v>
      </c>
      <c r="E493" s="26">
        <f t="shared" si="118"/>
        <v>17457</v>
      </c>
      <c r="F493" s="26">
        <f t="shared" si="118"/>
        <v>22981</v>
      </c>
      <c r="G493" s="26">
        <f t="shared" si="118"/>
        <v>22295</v>
      </c>
      <c r="H493" s="26">
        <f t="shared" si="118"/>
        <v>18678</v>
      </c>
      <c r="I493" s="26">
        <f t="shared" si="118"/>
        <v>18407</v>
      </c>
      <c r="J493" s="26">
        <f t="shared" si="118"/>
        <v>19528</v>
      </c>
      <c r="K493" s="26">
        <f t="shared" si="118"/>
        <v>18167</v>
      </c>
      <c r="L493" s="26">
        <f t="shared" si="118"/>
        <v>19454</v>
      </c>
      <c r="M493" s="26">
        <f t="shared" si="118"/>
        <v>19911</v>
      </c>
      <c r="N493" s="26">
        <f t="shared" si="118"/>
        <v>20813</v>
      </c>
      <c r="O493" s="26">
        <f t="shared" si="118"/>
        <v>22388</v>
      </c>
      <c r="P493" s="27">
        <f t="shared" si="118"/>
        <v>238965</v>
      </c>
      <c r="Q493"/>
    </row>
    <row r="494" spans="1:17" ht="12.75" hidden="1" customHeight="1" x14ac:dyDescent="0.25">
      <c r="A494"/>
      <c r="B494" s="416" t="s">
        <v>6</v>
      </c>
      <c r="C494" s="129" t="s">
        <v>8</v>
      </c>
      <c r="D494" s="28">
        <v>4179</v>
      </c>
      <c r="E494" s="29">
        <v>3581</v>
      </c>
      <c r="F494" s="29">
        <v>4937</v>
      </c>
      <c r="G494" s="29">
        <v>4303</v>
      </c>
      <c r="H494" s="29">
        <v>3667</v>
      </c>
      <c r="I494" s="29">
        <v>3033</v>
      </c>
      <c r="J494" s="29">
        <v>3054</v>
      </c>
      <c r="K494" s="29">
        <v>1463</v>
      </c>
      <c r="L494" s="29">
        <v>2163</v>
      </c>
      <c r="M494" s="29">
        <v>3734</v>
      </c>
      <c r="N494" s="29">
        <v>3344</v>
      </c>
      <c r="O494" s="29">
        <v>3409</v>
      </c>
      <c r="P494" s="30">
        <f>SUM(D494:O494)</f>
        <v>40867</v>
      </c>
      <c r="Q494"/>
    </row>
    <row r="495" spans="1:17" ht="12.75" hidden="1" customHeight="1" x14ac:dyDescent="0.25">
      <c r="A495"/>
      <c r="B495" s="417"/>
      <c r="C495" s="134" t="s">
        <v>9</v>
      </c>
      <c r="D495" s="19">
        <v>8951</v>
      </c>
      <c r="E495" s="20">
        <v>6797</v>
      </c>
      <c r="F495" s="20">
        <v>9412</v>
      </c>
      <c r="G495" s="20">
        <v>9502</v>
      </c>
      <c r="H495" s="20">
        <v>9254</v>
      </c>
      <c r="I495" s="20">
        <v>9180</v>
      </c>
      <c r="J495" s="20">
        <v>10355</v>
      </c>
      <c r="K495" s="20">
        <v>6971</v>
      </c>
      <c r="L495" s="20">
        <v>5094</v>
      </c>
      <c r="M495" s="20">
        <v>7041</v>
      </c>
      <c r="N495" s="20">
        <v>8402</v>
      </c>
      <c r="O495" s="20">
        <f>7442+124</f>
        <v>7566</v>
      </c>
      <c r="P495" s="21">
        <f>SUM(D495:O495)</f>
        <v>98525</v>
      </c>
      <c r="Q495"/>
    </row>
    <row r="496" spans="1:17" ht="12.75" hidden="1" customHeight="1" thickBot="1" x14ac:dyDescent="0.3">
      <c r="A496"/>
      <c r="B496" s="418"/>
      <c r="C496" s="133" t="s">
        <v>0</v>
      </c>
      <c r="D496" s="32">
        <f t="shared" ref="D496:L496" si="119">SUM(D494:D495)</f>
        <v>13130</v>
      </c>
      <c r="E496" s="32">
        <f t="shared" si="119"/>
        <v>10378</v>
      </c>
      <c r="F496" s="32">
        <f t="shared" si="119"/>
        <v>14349</v>
      </c>
      <c r="G496" s="32">
        <f t="shared" si="119"/>
        <v>13805</v>
      </c>
      <c r="H496" s="32">
        <f t="shared" si="119"/>
        <v>12921</v>
      </c>
      <c r="I496" s="32">
        <f t="shared" si="119"/>
        <v>12213</v>
      </c>
      <c r="J496" s="32">
        <f t="shared" si="119"/>
        <v>13409</v>
      </c>
      <c r="K496" s="32">
        <f t="shared" si="119"/>
        <v>8434</v>
      </c>
      <c r="L496" s="32">
        <f t="shared" si="119"/>
        <v>7257</v>
      </c>
      <c r="M496" s="32">
        <f>SUM(M494:M495)</f>
        <v>10775</v>
      </c>
      <c r="N496" s="32">
        <f>SUM(N494:N495)</f>
        <v>11746</v>
      </c>
      <c r="O496" s="32">
        <f>SUM(O494:O495)</f>
        <v>10975</v>
      </c>
      <c r="P496" s="33">
        <f>SUM(P494:P495)</f>
        <v>139392</v>
      </c>
      <c r="Q496"/>
    </row>
    <row r="497" spans="1:17" ht="12.75" hidden="1" customHeight="1" x14ac:dyDescent="0.25">
      <c r="A497"/>
      <c r="B497" s="416" t="s">
        <v>7</v>
      </c>
      <c r="C497" s="129" t="s">
        <v>10</v>
      </c>
      <c r="D497" s="28">
        <v>634</v>
      </c>
      <c r="E497" s="29">
        <v>652</v>
      </c>
      <c r="F497" s="29">
        <v>878</v>
      </c>
      <c r="G497" s="29">
        <v>917</v>
      </c>
      <c r="H497" s="29">
        <v>838</v>
      </c>
      <c r="I497" s="29">
        <v>689</v>
      </c>
      <c r="J497" s="29">
        <v>702</v>
      </c>
      <c r="K497" s="29">
        <v>522</v>
      </c>
      <c r="L497" s="29">
        <v>656</v>
      </c>
      <c r="M497" s="29">
        <v>761</v>
      </c>
      <c r="N497" s="29">
        <v>667</v>
      </c>
      <c r="O497" s="29">
        <v>743</v>
      </c>
      <c r="P497" s="30">
        <f>SUM(D497:O497)</f>
        <v>8659</v>
      </c>
      <c r="Q497"/>
    </row>
    <row r="498" spans="1:17" ht="12.75" hidden="1" customHeight="1" x14ac:dyDescent="0.25">
      <c r="A498"/>
      <c r="B498" s="417"/>
      <c r="C498" s="134" t="s">
        <v>11</v>
      </c>
      <c r="D498" s="19">
        <v>1569</v>
      </c>
      <c r="E498" s="20">
        <v>1449</v>
      </c>
      <c r="F498" s="20">
        <v>1947</v>
      </c>
      <c r="G498" s="20">
        <v>1983</v>
      </c>
      <c r="H498" s="20">
        <v>1862</v>
      </c>
      <c r="I498" s="20">
        <v>1714</v>
      </c>
      <c r="J498" s="20">
        <v>1498</v>
      </c>
      <c r="K498" s="20">
        <v>1181</v>
      </c>
      <c r="L498" s="20">
        <v>1244</v>
      </c>
      <c r="M498" s="20">
        <v>1539</v>
      </c>
      <c r="N498" s="20">
        <v>1538</v>
      </c>
      <c r="O498" s="20">
        <v>1259</v>
      </c>
      <c r="P498" s="21">
        <f>SUM(D498:O498)</f>
        <v>18783</v>
      </c>
      <c r="Q498"/>
    </row>
    <row r="499" spans="1:17" ht="12.75" hidden="1" customHeight="1" thickBot="1" x14ac:dyDescent="0.3">
      <c r="A499"/>
      <c r="B499" s="418"/>
      <c r="C499" s="133" t="s">
        <v>0</v>
      </c>
      <c r="D499" s="32">
        <f t="shared" ref="D499:P499" si="120">SUM(D497:D498)</f>
        <v>2203</v>
      </c>
      <c r="E499" s="32">
        <f t="shared" si="120"/>
        <v>2101</v>
      </c>
      <c r="F499" s="32">
        <f t="shared" si="120"/>
        <v>2825</v>
      </c>
      <c r="G499" s="32">
        <f t="shared" si="120"/>
        <v>2900</v>
      </c>
      <c r="H499" s="32">
        <f t="shared" si="120"/>
        <v>2700</v>
      </c>
      <c r="I499" s="32">
        <f t="shared" si="120"/>
        <v>2403</v>
      </c>
      <c r="J499" s="32">
        <f t="shared" si="120"/>
        <v>2200</v>
      </c>
      <c r="K499" s="32">
        <f t="shared" si="120"/>
        <v>1703</v>
      </c>
      <c r="L499" s="32">
        <f t="shared" si="120"/>
        <v>1900</v>
      </c>
      <c r="M499" s="32">
        <f t="shared" si="120"/>
        <v>2300</v>
      </c>
      <c r="N499" s="32">
        <f t="shared" si="120"/>
        <v>2205</v>
      </c>
      <c r="O499" s="32">
        <f t="shared" si="120"/>
        <v>2002</v>
      </c>
      <c r="P499" s="33">
        <f t="shared" si="120"/>
        <v>27442</v>
      </c>
      <c r="Q499"/>
    </row>
    <row r="500" spans="1:17" ht="4.5" hidden="1" customHeight="1" x14ac:dyDescent="0.25">
      <c r="A500"/>
      <c r="B500" s="429" t="s">
        <v>4</v>
      </c>
      <c r="C500" s="129" t="s">
        <v>65</v>
      </c>
      <c r="D500" s="110">
        <v>1408</v>
      </c>
      <c r="E500" s="110">
        <v>1310</v>
      </c>
      <c r="F500" s="110">
        <v>1757</v>
      </c>
      <c r="G500" s="110">
        <v>1662</v>
      </c>
      <c r="H500" s="110">
        <v>1557</v>
      </c>
      <c r="I500" s="110">
        <v>1382</v>
      </c>
      <c r="J500" s="110">
        <v>1270</v>
      </c>
      <c r="K500" s="110">
        <v>1471</v>
      </c>
      <c r="L500" s="110">
        <v>1150</v>
      </c>
      <c r="M500" s="110">
        <v>1164</v>
      </c>
      <c r="N500" s="110">
        <v>1339</v>
      </c>
      <c r="O500" s="110">
        <v>1505</v>
      </c>
      <c r="P500" s="111">
        <f>SUM(D500:O500)</f>
        <v>16975</v>
      </c>
      <c r="Q500"/>
    </row>
    <row r="501" spans="1:17" hidden="1" x14ac:dyDescent="0.25">
      <c r="A501"/>
      <c r="B501" s="430"/>
      <c r="C501" s="136" t="s">
        <v>67</v>
      </c>
      <c r="D501" s="99">
        <v>2479</v>
      </c>
      <c r="E501" s="99">
        <v>1873</v>
      </c>
      <c r="F501" s="99">
        <v>2195</v>
      </c>
      <c r="G501" s="99">
        <v>1930</v>
      </c>
      <c r="H501" s="99">
        <v>1958</v>
      </c>
      <c r="I501" s="99">
        <v>1853</v>
      </c>
      <c r="J501" s="99">
        <v>1726</v>
      </c>
      <c r="K501" s="99">
        <v>2071</v>
      </c>
      <c r="L501" s="99">
        <v>1496</v>
      </c>
      <c r="M501" s="99">
        <v>1786</v>
      </c>
      <c r="N501" s="99">
        <v>1214</v>
      </c>
      <c r="O501" s="99">
        <v>1703</v>
      </c>
      <c r="P501" s="100">
        <f>SUM(D501:O501)</f>
        <v>22284</v>
      </c>
    </row>
    <row r="502" spans="1:17" ht="9.75" hidden="1" customHeight="1" x14ac:dyDescent="0.25">
      <c r="A502"/>
      <c r="B502" s="430"/>
      <c r="C502" s="131" t="s">
        <v>78</v>
      </c>
      <c r="D502" s="22">
        <v>1387</v>
      </c>
      <c r="E502" s="23">
        <v>960</v>
      </c>
      <c r="F502" s="23">
        <v>2374</v>
      </c>
      <c r="G502" s="23">
        <v>2806</v>
      </c>
      <c r="H502" s="23">
        <v>2206</v>
      </c>
      <c r="I502" s="23">
        <v>1166</v>
      </c>
      <c r="J502" s="23">
        <v>1153</v>
      </c>
      <c r="K502" s="23">
        <v>1039</v>
      </c>
      <c r="L502" s="23">
        <v>933</v>
      </c>
      <c r="M502" s="23">
        <v>935</v>
      </c>
      <c r="N502" s="23">
        <v>1086</v>
      </c>
      <c r="O502" s="23">
        <v>1497</v>
      </c>
      <c r="P502" s="24">
        <f>SUM(D502:O502)</f>
        <v>17542</v>
      </c>
    </row>
    <row r="503" spans="1:17" ht="9.75" hidden="1" customHeight="1" thickBot="1" x14ac:dyDescent="0.3">
      <c r="A503"/>
      <c r="B503" s="431"/>
      <c r="C503" s="31" t="s">
        <v>0</v>
      </c>
      <c r="D503" s="32">
        <f>SUM(D500:D502)</f>
        <v>5274</v>
      </c>
      <c r="E503" s="32">
        <f t="shared" ref="E503:P503" si="121">SUM(E500:E502)</f>
        <v>4143</v>
      </c>
      <c r="F503" s="32">
        <f t="shared" si="121"/>
        <v>6326</v>
      </c>
      <c r="G503" s="32">
        <f t="shared" si="121"/>
        <v>6398</v>
      </c>
      <c r="H503" s="32">
        <f t="shared" si="121"/>
        <v>5721</v>
      </c>
      <c r="I503" s="32">
        <f t="shared" si="121"/>
        <v>4401</v>
      </c>
      <c r="J503" s="32">
        <f t="shared" si="121"/>
        <v>4149</v>
      </c>
      <c r="K503" s="32">
        <f t="shared" si="121"/>
        <v>4581</v>
      </c>
      <c r="L503" s="32">
        <f t="shared" si="121"/>
        <v>3579</v>
      </c>
      <c r="M503" s="32">
        <f t="shared" si="121"/>
        <v>3885</v>
      </c>
      <c r="N503" s="32">
        <f t="shared" si="121"/>
        <v>3639</v>
      </c>
      <c r="O503" s="32">
        <f t="shared" si="121"/>
        <v>4705</v>
      </c>
      <c r="P503" s="32">
        <f t="shared" si="121"/>
        <v>56801</v>
      </c>
    </row>
    <row r="504" spans="1:17" ht="4.5" hidden="1" customHeight="1" thickBot="1" x14ac:dyDescent="0.3">
      <c r="A504"/>
      <c r="B504" s="435" t="s">
        <v>2</v>
      </c>
      <c r="C504" s="436"/>
      <c r="D504" s="34">
        <f t="shared" ref="D504:O504" si="122">D486+D493+D499+D496+D503</f>
        <v>60440</v>
      </c>
      <c r="E504" s="34">
        <f t="shared" si="122"/>
        <v>53406</v>
      </c>
      <c r="F504" s="34">
        <f t="shared" si="122"/>
        <v>70111</v>
      </c>
      <c r="G504" s="34">
        <f t="shared" si="122"/>
        <v>71413</v>
      </c>
      <c r="H504" s="34">
        <f t="shared" si="122"/>
        <v>67756</v>
      </c>
      <c r="I504" s="34">
        <f t="shared" si="122"/>
        <v>60987</v>
      </c>
      <c r="J504" s="34">
        <f t="shared" si="122"/>
        <v>60286</v>
      </c>
      <c r="K504" s="34">
        <f t="shared" si="122"/>
        <v>52897</v>
      </c>
      <c r="L504" s="34">
        <f t="shared" si="122"/>
        <v>50139</v>
      </c>
      <c r="M504" s="34">
        <f t="shared" si="122"/>
        <v>64912</v>
      </c>
      <c r="N504" s="34">
        <f t="shared" si="122"/>
        <v>63160</v>
      </c>
      <c r="O504" s="34">
        <f t="shared" si="122"/>
        <v>66335</v>
      </c>
      <c r="P504" s="34">
        <f>SUM(P486,P493,P503,P496,P499)</f>
        <v>741842</v>
      </c>
      <c r="Q504"/>
    </row>
    <row r="505" spans="1:17" hidden="1" x14ac:dyDescent="0.25">
      <c r="A505"/>
      <c r="J505" s="92"/>
    </row>
    <row r="506" spans="1:17" ht="9.9" hidden="1" customHeight="1" x14ac:dyDescent="0.25">
      <c r="A506"/>
      <c r="B506" s="63" t="s">
        <v>46</v>
      </c>
      <c r="C506" s="64"/>
      <c r="D506" s="65">
        <f t="shared" ref="D506:P506" si="123">SUM(D507:D508)</f>
        <v>136</v>
      </c>
      <c r="E506" s="65">
        <f t="shared" si="123"/>
        <v>283</v>
      </c>
      <c r="F506" s="65">
        <f t="shared" si="123"/>
        <v>623</v>
      </c>
      <c r="G506" s="65">
        <f t="shared" si="123"/>
        <v>498</v>
      </c>
      <c r="H506" s="65">
        <f t="shared" si="123"/>
        <v>423</v>
      </c>
      <c r="I506" s="65">
        <f t="shared" si="123"/>
        <v>713</v>
      </c>
      <c r="J506" s="65">
        <f t="shared" si="123"/>
        <v>705</v>
      </c>
      <c r="K506" s="65">
        <f t="shared" si="123"/>
        <v>679</v>
      </c>
      <c r="L506" s="65">
        <f t="shared" si="123"/>
        <v>624</v>
      </c>
      <c r="M506" s="65">
        <f t="shared" si="123"/>
        <v>457</v>
      </c>
      <c r="N506" s="65">
        <f t="shared" si="123"/>
        <v>352</v>
      </c>
      <c r="O506" s="65">
        <f t="shared" si="123"/>
        <v>534</v>
      </c>
      <c r="P506" s="66">
        <f t="shared" si="123"/>
        <v>6027</v>
      </c>
    </row>
    <row r="507" spans="1:17" ht="9.9" hidden="1" customHeight="1" x14ac:dyDescent="0.25">
      <c r="A507"/>
      <c r="B507" s="67"/>
      <c r="C507" s="68" t="s">
        <v>92</v>
      </c>
      <c r="D507" s="79">
        <v>21</v>
      </c>
      <c r="E507" s="79">
        <v>62</v>
      </c>
      <c r="F507" s="69">
        <v>288</v>
      </c>
      <c r="G507" s="80">
        <v>133</v>
      </c>
      <c r="H507" s="69">
        <v>135</v>
      </c>
      <c r="I507" s="77">
        <v>244</v>
      </c>
      <c r="J507" s="77">
        <v>236</v>
      </c>
      <c r="K507" s="69">
        <v>380</v>
      </c>
      <c r="L507" s="69">
        <v>154</v>
      </c>
      <c r="M507" s="69">
        <v>112</v>
      </c>
      <c r="N507" s="69">
        <v>93</v>
      </c>
      <c r="O507" s="69">
        <v>202</v>
      </c>
      <c r="P507" s="70">
        <f>SUM(D507:O507)</f>
        <v>2060</v>
      </c>
    </row>
    <row r="508" spans="1:17" ht="9.9" hidden="1" customHeight="1" x14ac:dyDescent="0.25">
      <c r="A508"/>
      <c r="B508" s="71"/>
      <c r="C508" s="68" t="s">
        <v>91</v>
      </c>
      <c r="D508" s="79">
        <v>115</v>
      </c>
      <c r="E508" s="79">
        <v>221</v>
      </c>
      <c r="F508" s="69">
        <v>335</v>
      </c>
      <c r="G508" s="80">
        <v>365</v>
      </c>
      <c r="H508" s="69">
        <v>288</v>
      </c>
      <c r="I508" s="77">
        <v>469</v>
      </c>
      <c r="J508" s="78">
        <v>469</v>
      </c>
      <c r="K508" s="72">
        <v>299</v>
      </c>
      <c r="L508" s="72">
        <v>470</v>
      </c>
      <c r="M508" s="72">
        <v>345</v>
      </c>
      <c r="N508" s="72">
        <v>259</v>
      </c>
      <c r="O508" s="72">
        <v>332</v>
      </c>
      <c r="P508" s="70">
        <f>SUM(D508:O508)</f>
        <v>3967</v>
      </c>
    </row>
    <row r="509" spans="1:17" ht="9.9" hidden="1" customHeight="1" x14ac:dyDescent="0.25">
      <c r="A509"/>
      <c r="J509" s="92"/>
    </row>
    <row r="510" spans="1:17" ht="6" hidden="1" customHeight="1" x14ac:dyDescent="0.25">
      <c r="A510"/>
      <c r="B510" s="73" t="s">
        <v>21</v>
      </c>
      <c r="C510" s="74"/>
      <c r="D510" s="65">
        <f>D511+D512+D514+D513</f>
        <v>4541</v>
      </c>
      <c r="E510" s="65">
        <f t="shared" ref="E510:P510" si="124">E511+E512+E514+E513</f>
        <v>5680</v>
      </c>
      <c r="F510" s="65">
        <f t="shared" si="124"/>
        <v>6036</v>
      </c>
      <c r="G510" s="65">
        <f t="shared" si="124"/>
        <v>8836</v>
      </c>
      <c r="H510" s="65">
        <f t="shared" si="124"/>
        <v>13376</v>
      </c>
      <c r="I510" s="65">
        <f t="shared" si="124"/>
        <v>9822</v>
      </c>
      <c r="J510" s="65">
        <f t="shared" si="124"/>
        <v>8071</v>
      </c>
      <c r="K510" s="65">
        <f t="shared" si="124"/>
        <v>8393</v>
      </c>
      <c r="L510" s="65">
        <f t="shared" si="124"/>
        <v>7156</v>
      </c>
      <c r="M510" s="65">
        <f t="shared" si="124"/>
        <v>10688</v>
      </c>
      <c r="N510" s="65">
        <f t="shared" si="124"/>
        <v>8832</v>
      </c>
      <c r="O510" s="65">
        <f t="shared" si="124"/>
        <v>8572</v>
      </c>
      <c r="P510" s="65">
        <f t="shared" si="124"/>
        <v>100003</v>
      </c>
    </row>
    <row r="511" spans="1:17" hidden="1" x14ac:dyDescent="0.25">
      <c r="A511"/>
      <c r="B511" s="67"/>
      <c r="C511" s="68" t="s">
        <v>40</v>
      </c>
      <c r="D511" s="93">
        <v>4271</v>
      </c>
      <c r="E511" s="93">
        <v>5363</v>
      </c>
      <c r="F511" s="93">
        <v>5660</v>
      </c>
      <c r="G511" s="69">
        <v>2529</v>
      </c>
      <c r="H511" s="69">
        <v>2026</v>
      </c>
      <c r="I511" s="69">
        <v>1865</v>
      </c>
      <c r="J511" s="69">
        <v>1737</v>
      </c>
      <c r="K511" s="69">
        <v>1861</v>
      </c>
      <c r="L511" s="69">
        <v>1799</v>
      </c>
      <c r="M511" s="69">
        <v>2444</v>
      </c>
      <c r="N511" s="69">
        <v>2081</v>
      </c>
      <c r="O511" s="69">
        <v>1895</v>
      </c>
      <c r="P511" s="70">
        <f>SUM(D511:O511)</f>
        <v>33531</v>
      </c>
    </row>
    <row r="512" spans="1:17" ht="9.75" hidden="1" customHeight="1" x14ac:dyDescent="0.25">
      <c r="A512"/>
      <c r="B512" s="67"/>
      <c r="C512" s="96" t="s">
        <v>90</v>
      </c>
      <c r="D512" s="93">
        <v>270</v>
      </c>
      <c r="E512" s="93">
        <v>317</v>
      </c>
      <c r="F512" s="93">
        <v>265</v>
      </c>
      <c r="G512" s="93">
        <v>179</v>
      </c>
      <c r="H512" s="93">
        <v>126</v>
      </c>
      <c r="I512" s="93">
        <v>70</v>
      </c>
      <c r="J512" s="93">
        <v>1</v>
      </c>
      <c r="K512" s="93">
        <v>0</v>
      </c>
      <c r="L512" s="93">
        <v>0</v>
      </c>
      <c r="M512" s="93">
        <v>0</v>
      </c>
      <c r="N512" s="93">
        <v>0</v>
      </c>
      <c r="O512" s="72">
        <v>0</v>
      </c>
      <c r="P512" s="70">
        <f>SUM(D512:O512)</f>
        <v>1228</v>
      </c>
    </row>
    <row r="513" spans="1:17" ht="9.75" hidden="1" customHeight="1" x14ac:dyDescent="0.25">
      <c r="A513"/>
      <c r="B513" s="67"/>
      <c r="C513" s="68" t="s">
        <v>85</v>
      </c>
      <c r="D513" s="69">
        <v>0</v>
      </c>
      <c r="E513" s="69">
        <v>0</v>
      </c>
      <c r="F513" s="69">
        <v>111</v>
      </c>
      <c r="G513" s="69">
        <v>6128</v>
      </c>
      <c r="H513" s="69">
        <v>11224</v>
      </c>
      <c r="I513" s="69">
        <v>7887</v>
      </c>
      <c r="J513" s="69">
        <v>6333</v>
      </c>
      <c r="K513" s="69">
        <v>5547</v>
      </c>
      <c r="L513" s="69">
        <v>4045</v>
      </c>
      <c r="M513" s="69">
        <v>6531</v>
      </c>
      <c r="N513" s="69">
        <v>5548</v>
      </c>
      <c r="O513" s="69">
        <v>5452</v>
      </c>
      <c r="P513" s="70">
        <f>SUM(D513:O513)</f>
        <v>58806</v>
      </c>
    </row>
    <row r="514" spans="1:17" ht="6" hidden="1" customHeight="1" x14ac:dyDescent="0.25">
      <c r="A514"/>
      <c r="B514" s="71"/>
      <c r="C514" s="68" t="s">
        <v>88</v>
      </c>
      <c r="D514" s="69">
        <v>0</v>
      </c>
      <c r="E514" s="69">
        <v>0</v>
      </c>
      <c r="F514" s="69">
        <v>0</v>
      </c>
      <c r="G514" s="69">
        <v>0</v>
      </c>
      <c r="H514" s="69">
        <v>0</v>
      </c>
      <c r="I514" s="69">
        <v>0</v>
      </c>
      <c r="J514" s="69">
        <v>0</v>
      </c>
      <c r="K514" s="69">
        <v>985</v>
      </c>
      <c r="L514" s="69">
        <v>1312</v>
      </c>
      <c r="M514" s="69">
        <v>1713</v>
      </c>
      <c r="N514" s="69">
        <v>1203</v>
      </c>
      <c r="O514" s="69">
        <v>1225</v>
      </c>
      <c r="P514" s="70">
        <f>SUM(D514:O514)</f>
        <v>6438</v>
      </c>
    </row>
    <row r="515" spans="1:17" ht="9.9" hidden="1" customHeight="1" x14ac:dyDescent="0.25">
      <c r="A51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6"/>
    </row>
    <row r="516" spans="1:17" ht="9.9" hidden="1" customHeight="1" x14ac:dyDescent="0.25">
      <c r="A516"/>
      <c r="B516" s="63" t="s">
        <v>23</v>
      </c>
      <c r="C516" s="64"/>
      <c r="D516" s="65">
        <f t="shared" ref="D516:P516" si="125">SUM(D517:D518)</f>
        <v>10077</v>
      </c>
      <c r="E516" s="65">
        <f t="shared" si="125"/>
        <v>7720</v>
      </c>
      <c r="F516" s="65">
        <f t="shared" si="125"/>
        <v>10531</v>
      </c>
      <c r="G516" s="65">
        <f t="shared" si="125"/>
        <v>10135</v>
      </c>
      <c r="H516" s="65">
        <f t="shared" si="125"/>
        <v>8327</v>
      </c>
      <c r="I516" s="65">
        <f t="shared" si="125"/>
        <v>6652</v>
      </c>
      <c r="J516" s="65">
        <f t="shared" si="125"/>
        <v>6135</v>
      </c>
      <c r="K516" s="65">
        <f t="shared" si="125"/>
        <v>5514</v>
      </c>
      <c r="L516" s="65">
        <f t="shared" si="125"/>
        <v>4814</v>
      </c>
      <c r="M516" s="65">
        <f t="shared" si="125"/>
        <v>9867</v>
      </c>
      <c r="N516" s="65">
        <f t="shared" si="125"/>
        <v>10407</v>
      </c>
      <c r="O516" s="65">
        <f t="shared" si="125"/>
        <v>13170</v>
      </c>
      <c r="P516" s="65">
        <f t="shared" si="125"/>
        <v>103349</v>
      </c>
    </row>
    <row r="517" spans="1:17" ht="9.9" hidden="1" customHeight="1" x14ac:dyDescent="0.25">
      <c r="A517"/>
      <c r="B517" s="67"/>
      <c r="C517" s="102" t="s">
        <v>56</v>
      </c>
      <c r="D517" s="103">
        <v>7627</v>
      </c>
      <c r="E517" s="103">
        <v>5883</v>
      </c>
      <c r="F517" s="104">
        <v>7470</v>
      </c>
      <c r="G517" s="105">
        <v>6949</v>
      </c>
      <c r="H517" s="104">
        <v>5553</v>
      </c>
      <c r="I517" s="106">
        <v>3952</v>
      </c>
      <c r="J517" s="106">
        <v>3846</v>
      </c>
      <c r="K517" s="104">
        <v>4361</v>
      </c>
      <c r="L517" s="104">
        <v>3653</v>
      </c>
      <c r="M517" s="104">
        <v>6827</v>
      </c>
      <c r="N517" s="104">
        <v>8095</v>
      </c>
      <c r="O517" s="104">
        <v>9425</v>
      </c>
      <c r="P517" s="107">
        <f>SUM(D517:O517)</f>
        <v>73641</v>
      </c>
    </row>
    <row r="518" spans="1:17" ht="9.9" hidden="1" customHeight="1" x14ac:dyDescent="0.25">
      <c r="A518"/>
      <c r="B518" s="71"/>
      <c r="C518" s="68" t="s">
        <v>89</v>
      </c>
      <c r="D518" s="79">
        <v>2450</v>
      </c>
      <c r="E518" s="79">
        <v>1837</v>
      </c>
      <c r="F518" s="69">
        <v>3061</v>
      </c>
      <c r="G518" s="80">
        <v>3186</v>
      </c>
      <c r="H518" s="69">
        <v>2774</v>
      </c>
      <c r="I518" s="77">
        <v>2700</v>
      </c>
      <c r="J518" s="78">
        <v>2289</v>
      </c>
      <c r="K518" s="72">
        <v>1153</v>
      </c>
      <c r="L518" s="72">
        <v>1161</v>
      </c>
      <c r="M518" s="72">
        <v>3040</v>
      </c>
      <c r="N518" s="72">
        <v>2312</v>
      </c>
      <c r="O518" s="72">
        <v>3745</v>
      </c>
      <c r="P518" s="70">
        <f>SUM(D518:O518)</f>
        <v>29708</v>
      </c>
    </row>
    <row r="519" spans="1:17" s="147" customFormat="1" ht="6" hidden="1" customHeight="1" x14ac:dyDescent="0.25">
      <c r="A519"/>
      <c r="B519" s="15"/>
      <c r="C519" s="1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6"/>
      <c r="Q519" s="146"/>
    </row>
    <row r="520" spans="1:17" hidden="1" x14ac:dyDescent="0.25">
      <c r="A520"/>
      <c r="B520" s="63" t="s">
        <v>63</v>
      </c>
      <c r="C520" s="64"/>
      <c r="D520" s="65">
        <f t="shared" ref="D520:P520" si="126">SUM(D521:D523)</f>
        <v>2310</v>
      </c>
      <c r="E520" s="65">
        <f t="shared" si="126"/>
        <v>1955</v>
      </c>
      <c r="F520" s="65">
        <f t="shared" si="126"/>
        <v>4529</v>
      </c>
      <c r="G520" s="65">
        <f t="shared" si="126"/>
        <v>4730</v>
      </c>
      <c r="H520" s="65">
        <f t="shared" si="126"/>
        <v>4328</v>
      </c>
      <c r="I520" s="65">
        <f t="shared" si="126"/>
        <v>3634</v>
      </c>
      <c r="J520" s="65">
        <f t="shared" si="126"/>
        <v>3187</v>
      </c>
      <c r="K520" s="65">
        <f t="shared" si="126"/>
        <v>2474</v>
      </c>
      <c r="L520" s="65">
        <f t="shared" si="126"/>
        <v>3636</v>
      </c>
      <c r="M520" s="65">
        <f t="shared" si="126"/>
        <v>4421</v>
      </c>
      <c r="N520" s="65">
        <f t="shared" si="126"/>
        <v>3720</v>
      </c>
      <c r="O520" s="65">
        <f t="shared" si="126"/>
        <v>3725</v>
      </c>
      <c r="P520" s="66">
        <f t="shared" si="126"/>
        <v>42649</v>
      </c>
    </row>
    <row r="521" spans="1:17" ht="9.9" hidden="1" customHeight="1" x14ac:dyDescent="0.25">
      <c r="A521"/>
      <c r="B521" s="67"/>
      <c r="C521" s="68" t="s">
        <v>77</v>
      </c>
      <c r="D521" s="79">
        <v>1922</v>
      </c>
      <c r="E521" s="79">
        <v>1722</v>
      </c>
      <c r="F521" s="69">
        <v>2378</v>
      </c>
      <c r="G521" s="80">
        <v>3001</v>
      </c>
      <c r="H521" s="69">
        <v>2457</v>
      </c>
      <c r="I521" s="77">
        <v>2309</v>
      </c>
      <c r="J521" s="78">
        <v>1659</v>
      </c>
      <c r="K521" s="72">
        <v>1461</v>
      </c>
      <c r="L521" s="72">
        <v>1978</v>
      </c>
      <c r="M521" s="72">
        <v>2741</v>
      </c>
      <c r="N521" s="72">
        <v>2179</v>
      </c>
      <c r="O521" s="72">
        <v>2084</v>
      </c>
      <c r="P521" s="70">
        <f>SUM(D521:O521)</f>
        <v>25891</v>
      </c>
    </row>
    <row r="522" spans="1:17" ht="9.9" hidden="1" customHeight="1" x14ac:dyDescent="0.25">
      <c r="B522" s="67"/>
      <c r="C522" s="68" t="s">
        <v>93</v>
      </c>
      <c r="D522" s="79">
        <v>388</v>
      </c>
      <c r="E522" s="79">
        <v>233</v>
      </c>
      <c r="F522" s="69">
        <v>2151</v>
      </c>
      <c r="G522" s="80">
        <v>1729</v>
      </c>
      <c r="H522" s="69">
        <v>1871</v>
      </c>
      <c r="I522" s="77">
        <v>1325</v>
      </c>
      <c r="J522" s="77">
        <v>1528</v>
      </c>
      <c r="K522" s="69">
        <v>1008</v>
      </c>
      <c r="L522" s="69">
        <v>893</v>
      </c>
      <c r="M522" s="69">
        <v>1009</v>
      </c>
      <c r="N522" s="69">
        <v>852</v>
      </c>
      <c r="O522" s="69">
        <v>600</v>
      </c>
      <c r="P522" s="70">
        <f>SUM(D522:O522)</f>
        <v>13587</v>
      </c>
    </row>
    <row r="523" spans="1:17" ht="6" hidden="1" customHeight="1" x14ac:dyDescent="0.25">
      <c r="B523" s="71"/>
      <c r="C523" s="68" t="s">
        <v>91</v>
      </c>
      <c r="D523" s="79">
        <v>0</v>
      </c>
      <c r="E523" s="79">
        <v>0</v>
      </c>
      <c r="F523" s="69">
        <v>0</v>
      </c>
      <c r="G523" s="80">
        <v>0</v>
      </c>
      <c r="H523" s="69">
        <v>0</v>
      </c>
      <c r="I523" s="77">
        <v>0</v>
      </c>
      <c r="J523" s="77">
        <v>0</v>
      </c>
      <c r="K523" s="69">
        <v>5</v>
      </c>
      <c r="L523" s="69">
        <v>765</v>
      </c>
      <c r="M523" s="69">
        <v>671</v>
      </c>
      <c r="N523" s="69">
        <v>689</v>
      </c>
      <c r="O523" s="69">
        <v>1041</v>
      </c>
      <c r="P523" s="70">
        <f>SUM(D523:O523)</f>
        <v>3171</v>
      </c>
    </row>
    <row r="524" spans="1:17" hidden="1" x14ac:dyDescent="0.25">
      <c r="A524" s="142"/>
      <c r="B524" s="142"/>
      <c r="C524" s="142"/>
      <c r="D524" s="143"/>
      <c r="E524" s="143"/>
      <c r="F524" s="143"/>
      <c r="G524" s="143"/>
      <c r="H524" s="143"/>
      <c r="I524" s="143"/>
      <c r="J524" s="144"/>
      <c r="K524" s="144"/>
      <c r="L524" s="144"/>
      <c r="M524" s="144"/>
      <c r="N524" s="144"/>
      <c r="O524" s="144"/>
      <c r="P524" s="145"/>
    </row>
    <row r="525" spans="1:17" ht="9.9" hidden="1" customHeight="1" x14ac:dyDescent="0.25">
      <c r="B525" s="63" t="s">
        <v>78</v>
      </c>
      <c r="C525" s="64"/>
      <c r="D525" s="65">
        <f t="shared" ref="D525:P525" si="127">SUM(D526:D527)</f>
        <v>1387</v>
      </c>
      <c r="E525" s="65">
        <f t="shared" si="127"/>
        <v>960</v>
      </c>
      <c r="F525" s="65">
        <f t="shared" si="127"/>
        <v>2374</v>
      </c>
      <c r="G525" s="65">
        <f t="shared" si="127"/>
        <v>2806</v>
      </c>
      <c r="H525" s="65">
        <f t="shared" si="127"/>
        <v>2206</v>
      </c>
      <c r="I525" s="65">
        <f t="shared" si="127"/>
        <v>1166</v>
      </c>
      <c r="J525" s="65">
        <f t="shared" si="127"/>
        <v>1153</v>
      </c>
      <c r="K525" s="65">
        <f t="shared" si="127"/>
        <v>1039</v>
      </c>
      <c r="L525" s="65">
        <f t="shared" si="127"/>
        <v>933</v>
      </c>
      <c r="M525" s="65">
        <f t="shared" si="127"/>
        <v>935</v>
      </c>
      <c r="N525" s="65">
        <f t="shared" si="127"/>
        <v>1086</v>
      </c>
      <c r="O525" s="65">
        <f t="shared" si="127"/>
        <v>1497</v>
      </c>
      <c r="P525" s="66">
        <f t="shared" si="127"/>
        <v>17542</v>
      </c>
    </row>
    <row r="526" spans="1:17" ht="9.9" hidden="1" customHeight="1" x14ac:dyDescent="0.25">
      <c r="B526" s="67"/>
      <c r="C526" s="68" t="s">
        <v>45</v>
      </c>
      <c r="D526" s="79">
        <v>39</v>
      </c>
      <c r="E526" s="79">
        <v>36</v>
      </c>
      <c r="F526" s="69">
        <v>28</v>
      </c>
      <c r="G526" s="80">
        <v>25</v>
      </c>
      <c r="H526" s="69">
        <v>2</v>
      </c>
      <c r="I526" s="77">
        <v>0</v>
      </c>
      <c r="J526" s="77">
        <v>0</v>
      </c>
      <c r="K526" s="69">
        <v>0</v>
      </c>
      <c r="L526" s="69">
        <v>0</v>
      </c>
      <c r="M526" s="69">
        <v>0</v>
      </c>
      <c r="N526" s="69">
        <v>0</v>
      </c>
      <c r="O526" s="69">
        <v>0</v>
      </c>
      <c r="P526" s="70">
        <f>SUM(D526:O526)</f>
        <v>130</v>
      </c>
    </row>
    <row r="527" spans="1:17" s="11" customFormat="1" ht="6.75" hidden="1" customHeight="1" x14ac:dyDescent="0.25">
      <c r="A527" s="15"/>
      <c r="B527" s="71"/>
      <c r="C527" s="68" t="s">
        <v>80</v>
      </c>
      <c r="D527" s="79">
        <v>1348</v>
      </c>
      <c r="E527" s="79">
        <v>924</v>
      </c>
      <c r="F527" s="79">
        <v>2346</v>
      </c>
      <c r="G527" s="79">
        <v>2781</v>
      </c>
      <c r="H527" s="79">
        <v>2204</v>
      </c>
      <c r="I527" s="79">
        <v>1166</v>
      </c>
      <c r="J527" s="79">
        <v>1153</v>
      </c>
      <c r="K527" s="79">
        <v>1039</v>
      </c>
      <c r="L527" s="79">
        <v>933</v>
      </c>
      <c r="M527" s="79">
        <v>935</v>
      </c>
      <c r="N527" s="72">
        <v>1086</v>
      </c>
      <c r="O527" s="72">
        <v>1497</v>
      </c>
      <c r="P527" s="70">
        <f>SUM(D527:O527)</f>
        <v>17412</v>
      </c>
      <c r="Q527" s="90"/>
    </row>
    <row r="528" spans="1:17" hidden="1" x14ac:dyDescent="0.25"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4"/>
      <c r="O528" s="154"/>
      <c r="P528" s="76"/>
    </row>
    <row r="529" spans="1:17" ht="12.75" hidden="1" customHeight="1" x14ac:dyDescent="0.25">
      <c r="B529" s="63" t="s">
        <v>94</v>
      </c>
      <c r="C529" s="64"/>
      <c r="D529" s="65">
        <f t="shared" ref="D529:P529" si="128">SUM(D530:D531)</f>
        <v>8951</v>
      </c>
      <c r="E529" s="65">
        <f t="shared" si="128"/>
        <v>6797</v>
      </c>
      <c r="F529" s="65">
        <f t="shared" si="128"/>
        <v>9412</v>
      </c>
      <c r="G529" s="65">
        <f t="shared" si="128"/>
        <v>9502</v>
      </c>
      <c r="H529" s="65">
        <f t="shared" si="128"/>
        <v>9254</v>
      </c>
      <c r="I529" s="65">
        <f t="shared" si="128"/>
        <v>9180</v>
      </c>
      <c r="J529" s="65">
        <f t="shared" si="128"/>
        <v>10355</v>
      </c>
      <c r="K529" s="65">
        <f t="shared" si="128"/>
        <v>6971</v>
      </c>
      <c r="L529" s="65">
        <f t="shared" si="128"/>
        <v>5094</v>
      </c>
      <c r="M529" s="65">
        <f t="shared" si="128"/>
        <v>7041</v>
      </c>
      <c r="N529" s="65">
        <f t="shared" si="128"/>
        <v>8402</v>
      </c>
      <c r="O529" s="65">
        <f t="shared" si="128"/>
        <v>7566</v>
      </c>
      <c r="P529" s="66">
        <f t="shared" si="128"/>
        <v>98525</v>
      </c>
    </row>
    <row r="530" spans="1:17" ht="12.75" hidden="1" customHeight="1" x14ac:dyDescent="0.25">
      <c r="B530" s="67"/>
      <c r="C530" s="68" t="s">
        <v>9</v>
      </c>
      <c r="D530" s="79">
        <v>8951</v>
      </c>
      <c r="E530" s="79">
        <v>6797</v>
      </c>
      <c r="F530" s="69">
        <v>9412</v>
      </c>
      <c r="G530" s="80">
        <v>9502</v>
      </c>
      <c r="H530" s="69">
        <v>9254</v>
      </c>
      <c r="I530" s="77">
        <v>9180</v>
      </c>
      <c r="J530" s="77">
        <v>10355</v>
      </c>
      <c r="K530" s="69">
        <v>6971</v>
      </c>
      <c r="L530" s="69">
        <v>5094</v>
      </c>
      <c r="M530" s="69">
        <v>7041</v>
      </c>
      <c r="N530" s="69">
        <v>8402</v>
      </c>
      <c r="O530" s="69">
        <v>7442</v>
      </c>
      <c r="P530" s="70">
        <f>SUM(D530:O530)</f>
        <v>98401</v>
      </c>
      <c r="Q530"/>
    </row>
    <row r="531" spans="1:17" ht="12.75" hidden="1" customHeight="1" x14ac:dyDescent="0.25">
      <c r="B531" s="71"/>
      <c r="C531" s="68" t="s">
        <v>92</v>
      </c>
      <c r="D531" s="79">
        <v>0</v>
      </c>
      <c r="E531" s="79">
        <v>0</v>
      </c>
      <c r="F531" s="79">
        <v>0</v>
      </c>
      <c r="G531" s="79">
        <v>0</v>
      </c>
      <c r="H531" s="79">
        <v>0</v>
      </c>
      <c r="I531" s="79">
        <v>0</v>
      </c>
      <c r="J531" s="79">
        <v>0</v>
      </c>
      <c r="K531" s="79">
        <v>0</v>
      </c>
      <c r="L531" s="79">
        <v>0</v>
      </c>
      <c r="M531" s="79">
        <v>0</v>
      </c>
      <c r="N531" s="72">
        <v>0</v>
      </c>
      <c r="O531" s="72">
        <v>124</v>
      </c>
      <c r="P531" s="70">
        <f>SUM(D531:O531)</f>
        <v>124</v>
      </c>
      <c r="Q531"/>
    </row>
    <row r="532" spans="1:17" ht="12.75" hidden="1" customHeight="1" x14ac:dyDescent="0.25">
      <c r="A532" s="11"/>
      <c r="B532" s="11"/>
      <c r="C532" s="11"/>
      <c r="D532" s="155"/>
      <c r="E532" s="155"/>
      <c r="F532" s="155"/>
      <c r="G532" s="155"/>
      <c r="H532" s="155"/>
      <c r="I532" s="155"/>
      <c r="J532" s="155"/>
      <c r="K532" s="155"/>
      <c r="L532" s="155"/>
      <c r="M532" s="155"/>
      <c r="N532" s="155"/>
      <c r="O532" s="155"/>
      <c r="P532" s="11"/>
      <c r="Q532"/>
    </row>
    <row r="533" spans="1:17" ht="12.75" hidden="1" customHeight="1" thickBot="1" x14ac:dyDescent="0.3">
      <c r="B533" s="13" t="s">
        <v>69</v>
      </c>
      <c r="C533" s="13"/>
      <c r="Q533"/>
    </row>
    <row r="534" spans="1:17" ht="12.75" hidden="1" customHeight="1" thickBot="1" x14ac:dyDescent="0.3">
      <c r="B534" s="437" t="s">
        <v>1</v>
      </c>
      <c r="C534" s="438"/>
      <c r="D534" s="16">
        <v>1</v>
      </c>
      <c r="E534" s="17">
        <v>2</v>
      </c>
      <c r="F534" s="17">
        <v>3</v>
      </c>
      <c r="G534" s="17">
        <v>4</v>
      </c>
      <c r="H534" s="17">
        <v>5</v>
      </c>
      <c r="I534" s="17">
        <v>6</v>
      </c>
      <c r="J534" s="17">
        <v>7</v>
      </c>
      <c r="K534" s="17">
        <v>8</v>
      </c>
      <c r="L534" s="17">
        <v>9</v>
      </c>
      <c r="M534" s="17">
        <v>10</v>
      </c>
      <c r="N534" s="17">
        <v>11</v>
      </c>
      <c r="O534" s="17">
        <v>12</v>
      </c>
      <c r="P534" s="18" t="s">
        <v>0</v>
      </c>
      <c r="Q534"/>
    </row>
    <row r="535" spans="1:17" ht="12.75" hidden="1" customHeight="1" x14ac:dyDescent="0.25">
      <c r="B535" s="432" t="s">
        <v>37</v>
      </c>
      <c r="C535" s="129" t="s">
        <v>17</v>
      </c>
      <c r="D535" s="28">
        <v>523</v>
      </c>
      <c r="E535" s="29">
        <v>427</v>
      </c>
      <c r="F535" s="28">
        <v>574</v>
      </c>
      <c r="G535" s="29">
        <v>564</v>
      </c>
      <c r="H535" s="29">
        <v>387</v>
      </c>
      <c r="I535" s="29">
        <v>519</v>
      </c>
      <c r="J535" s="29">
        <v>322</v>
      </c>
      <c r="K535" s="29">
        <v>520</v>
      </c>
      <c r="L535" s="29">
        <v>398</v>
      </c>
      <c r="M535" s="29">
        <v>509</v>
      </c>
      <c r="N535" s="29">
        <v>489</v>
      </c>
      <c r="O535" s="29">
        <v>466</v>
      </c>
      <c r="P535" s="30">
        <f t="shared" ref="P535:P543" si="129">SUM(D535:O535)</f>
        <v>5698</v>
      </c>
      <c r="Q535"/>
    </row>
    <row r="536" spans="1:17" ht="12.75" hidden="1" customHeight="1" x14ac:dyDescent="0.25">
      <c r="B536" s="433"/>
      <c r="C536" s="130" t="s">
        <v>18</v>
      </c>
      <c r="D536" s="57">
        <v>0</v>
      </c>
      <c r="E536" s="58">
        <v>109</v>
      </c>
      <c r="F536" s="57">
        <v>279</v>
      </c>
      <c r="G536" s="58">
        <v>435</v>
      </c>
      <c r="H536" s="58">
        <v>335</v>
      </c>
      <c r="I536" s="58">
        <v>327</v>
      </c>
      <c r="J536" s="58">
        <v>312</v>
      </c>
      <c r="K536" s="58">
        <v>681</v>
      </c>
      <c r="L536" s="60">
        <v>503</v>
      </c>
      <c r="M536" s="58">
        <v>407</v>
      </c>
      <c r="N536" s="58">
        <v>268</v>
      </c>
      <c r="O536" s="58">
        <v>598</v>
      </c>
      <c r="P536" s="59">
        <f t="shared" si="129"/>
        <v>4254</v>
      </c>
      <c r="Q536"/>
    </row>
    <row r="537" spans="1:17" ht="12.75" hidden="1" customHeight="1" x14ac:dyDescent="0.25">
      <c r="B537" s="433"/>
      <c r="C537" s="130" t="s">
        <v>20</v>
      </c>
      <c r="D537" s="57">
        <v>5677</v>
      </c>
      <c r="E537" s="57">
        <v>5807</v>
      </c>
      <c r="F537" s="57">
        <v>5928</v>
      </c>
      <c r="G537" s="57">
        <v>5898</v>
      </c>
      <c r="H537" s="57">
        <v>6565</v>
      </c>
      <c r="I537" s="57">
        <v>5928</v>
      </c>
      <c r="J537" s="57">
        <v>7522</v>
      </c>
      <c r="K537" s="57">
        <v>8136</v>
      </c>
      <c r="L537" s="57">
        <v>5488</v>
      </c>
      <c r="M537" s="57">
        <v>7228</v>
      </c>
      <c r="N537" s="57">
        <v>6243</v>
      </c>
      <c r="O537" s="57">
        <v>5411</v>
      </c>
      <c r="P537" s="24">
        <f t="shared" si="129"/>
        <v>75831</v>
      </c>
      <c r="Q537"/>
    </row>
    <row r="538" spans="1:17" ht="12.75" hidden="1" customHeight="1" x14ac:dyDescent="0.25">
      <c r="A538"/>
      <c r="B538" s="433"/>
      <c r="C538" s="130" t="s">
        <v>46</v>
      </c>
      <c r="D538" s="57">
        <v>1298</v>
      </c>
      <c r="E538" s="57">
        <v>1282</v>
      </c>
      <c r="F538" s="57">
        <v>1097</v>
      </c>
      <c r="G538" s="57">
        <v>852</v>
      </c>
      <c r="H538" s="57">
        <v>814</v>
      </c>
      <c r="I538" s="57">
        <v>746</v>
      </c>
      <c r="J538" s="57">
        <v>417</v>
      </c>
      <c r="K538" s="57">
        <v>488</v>
      </c>
      <c r="L538" s="57">
        <v>360</v>
      </c>
      <c r="M538" s="57">
        <v>541</v>
      </c>
      <c r="N538" s="57">
        <v>687</v>
      </c>
      <c r="O538" s="57">
        <v>844</v>
      </c>
      <c r="P538" s="21">
        <f t="shared" si="129"/>
        <v>9426</v>
      </c>
      <c r="Q538"/>
    </row>
    <row r="539" spans="1:17" ht="12.75" hidden="1" customHeight="1" x14ac:dyDescent="0.25">
      <c r="A539"/>
      <c r="B539" s="433"/>
      <c r="C539" s="131" t="s">
        <v>3</v>
      </c>
      <c r="D539" s="22">
        <v>301</v>
      </c>
      <c r="E539" s="23">
        <v>304</v>
      </c>
      <c r="F539" s="22">
        <v>337</v>
      </c>
      <c r="G539" s="23">
        <v>265</v>
      </c>
      <c r="H539" s="23">
        <v>231</v>
      </c>
      <c r="I539" s="23">
        <v>236</v>
      </c>
      <c r="J539" s="23">
        <v>201</v>
      </c>
      <c r="K539" s="23">
        <v>272</v>
      </c>
      <c r="L539" s="25">
        <v>203</v>
      </c>
      <c r="M539" s="23">
        <v>279</v>
      </c>
      <c r="N539" s="23">
        <v>301</v>
      </c>
      <c r="O539" s="23">
        <v>295</v>
      </c>
      <c r="P539" s="59">
        <f t="shared" si="129"/>
        <v>3225</v>
      </c>
      <c r="Q539"/>
    </row>
    <row r="540" spans="1:17" ht="12.75" hidden="1" customHeight="1" x14ac:dyDescent="0.25">
      <c r="A540"/>
      <c r="B540" s="433"/>
      <c r="C540" s="132" t="s">
        <v>21</v>
      </c>
      <c r="D540" s="56">
        <f>5230+290</f>
        <v>5520</v>
      </c>
      <c r="E540" s="56">
        <v>5079</v>
      </c>
      <c r="F540" s="56">
        <v>5685</v>
      </c>
      <c r="G540" s="56">
        <v>5699</v>
      </c>
      <c r="H540" s="56">
        <v>5542</v>
      </c>
      <c r="I540" s="56">
        <v>5245</v>
      </c>
      <c r="J540" s="56">
        <v>5948</v>
      </c>
      <c r="K540" s="56">
        <v>5881</v>
      </c>
      <c r="L540" s="56">
        <v>4396</v>
      </c>
      <c r="M540" s="56">
        <v>6326</v>
      </c>
      <c r="N540" s="56">
        <v>5335</v>
      </c>
      <c r="O540" s="56">
        <v>5190</v>
      </c>
      <c r="P540" s="59">
        <f t="shared" si="129"/>
        <v>65846</v>
      </c>
      <c r="Q540"/>
    </row>
    <row r="541" spans="1:17" ht="12.75" hidden="1" customHeight="1" x14ac:dyDescent="0.25">
      <c r="A541"/>
      <c r="B541" s="433"/>
      <c r="C541" s="132" t="s">
        <v>35</v>
      </c>
      <c r="D541" s="56">
        <v>14</v>
      </c>
      <c r="E541" s="56">
        <v>17</v>
      </c>
      <c r="F541" s="56">
        <v>8</v>
      </c>
      <c r="G541" s="56">
        <v>28</v>
      </c>
      <c r="H541" s="56">
        <v>13</v>
      </c>
      <c r="I541" s="56">
        <v>8</v>
      </c>
      <c r="J541" s="56">
        <v>20</v>
      </c>
      <c r="K541" s="56">
        <v>24</v>
      </c>
      <c r="L541" s="56">
        <v>14</v>
      </c>
      <c r="M541" s="56">
        <v>20</v>
      </c>
      <c r="N541" s="56">
        <v>30</v>
      </c>
      <c r="O541" s="56">
        <v>17</v>
      </c>
      <c r="P541" s="59">
        <f t="shared" si="129"/>
        <v>213</v>
      </c>
      <c r="Q541"/>
    </row>
    <row r="542" spans="1:17" ht="12.75" hidden="1" customHeight="1" x14ac:dyDescent="0.25">
      <c r="A542"/>
      <c r="B542" s="433"/>
      <c r="C542" s="132" t="s">
        <v>23</v>
      </c>
      <c r="D542" s="55">
        <f>7662+1939</f>
        <v>9601</v>
      </c>
      <c r="E542" s="55">
        <v>8984</v>
      </c>
      <c r="F542" s="55">
        <v>10598</v>
      </c>
      <c r="G542" s="55">
        <v>9904</v>
      </c>
      <c r="H542" s="55">
        <v>10436</v>
      </c>
      <c r="I542" s="55">
        <v>8945</v>
      </c>
      <c r="J542" s="55">
        <v>8571</v>
      </c>
      <c r="K542" s="55">
        <v>8905</v>
      </c>
      <c r="L542" s="55">
        <v>7510</v>
      </c>
      <c r="M542" s="55">
        <v>9037</v>
      </c>
      <c r="N542" s="55">
        <v>10191</v>
      </c>
      <c r="O542" s="55">
        <v>10419</v>
      </c>
      <c r="P542" s="59">
        <f t="shared" si="129"/>
        <v>113101</v>
      </c>
      <c r="Q542"/>
    </row>
    <row r="543" spans="1:17" ht="12.75" hidden="1" customHeight="1" x14ac:dyDescent="0.25">
      <c r="A543"/>
      <c r="B543" s="433"/>
      <c r="C543" s="130" t="s">
        <v>41</v>
      </c>
      <c r="D543" s="94">
        <v>20</v>
      </c>
      <c r="E543" s="95">
        <v>0</v>
      </c>
      <c r="F543" s="95">
        <v>0</v>
      </c>
      <c r="G543" s="95">
        <v>0</v>
      </c>
      <c r="H543" s="95">
        <v>0</v>
      </c>
      <c r="I543" s="95">
        <v>0</v>
      </c>
      <c r="J543" s="95">
        <v>0</v>
      </c>
      <c r="K543" s="95">
        <v>0</v>
      </c>
      <c r="L543" s="95">
        <v>0</v>
      </c>
      <c r="M543" s="94">
        <v>0</v>
      </c>
      <c r="N543" s="94">
        <v>0</v>
      </c>
      <c r="O543" s="94">
        <v>0</v>
      </c>
      <c r="P543" s="59">
        <f t="shared" si="129"/>
        <v>20</v>
      </c>
      <c r="Q543"/>
    </row>
    <row r="544" spans="1:17" ht="12.75" hidden="1" customHeight="1" thickBot="1" x14ac:dyDescent="0.3">
      <c r="A544"/>
      <c r="B544" s="418"/>
      <c r="C544" s="133" t="s">
        <v>0</v>
      </c>
      <c r="D544" s="32">
        <f t="shared" ref="D544:P544" si="130">SUM(D535:D543)</f>
        <v>22954</v>
      </c>
      <c r="E544" s="32">
        <f t="shared" si="130"/>
        <v>22009</v>
      </c>
      <c r="F544" s="32">
        <f t="shared" si="130"/>
        <v>24506</v>
      </c>
      <c r="G544" s="32">
        <f t="shared" si="130"/>
        <v>23645</v>
      </c>
      <c r="H544" s="32">
        <f t="shared" si="130"/>
        <v>24323</v>
      </c>
      <c r="I544" s="32">
        <f t="shared" si="130"/>
        <v>21954</v>
      </c>
      <c r="J544" s="32">
        <f t="shared" si="130"/>
        <v>23313</v>
      </c>
      <c r="K544" s="32">
        <f t="shared" si="130"/>
        <v>24907</v>
      </c>
      <c r="L544" s="32">
        <f t="shared" si="130"/>
        <v>18872</v>
      </c>
      <c r="M544" s="32">
        <f t="shared" si="130"/>
        <v>24347</v>
      </c>
      <c r="N544" s="32">
        <f t="shared" si="130"/>
        <v>23544</v>
      </c>
      <c r="O544" s="32">
        <f t="shared" si="130"/>
        <v>23240</v>
      </c>
      <c r="P544" s="33">
        <f t="shared" si="130"/>
        <v>277614</v>
      </c>
      <c r="Q544"/>
    </row>
    <row r="545" spans="1:17" ht="12.75" hidden="1" customHeight="1" x14ac:dyDescent="0.25">
      <c r="A545"/>
      <c r="B545" s="427" t="s">
        <v>36</v>
      </c>
      <c r="C545" s="129" t="s">
        <v>63</v>
      </c>
      <c r="D545" s="28">
        <v>3507</v>
      </c>
      <c r="E545" s="29">
        <v>3366</v>
      </c>
      <c r="F545" s="29">
        <v>4098</v>
      </c>
      <c r="G545" s="29">
        <v>3490</v>
      </c>
      <c r="H545" s="29">
        <v>3741</v>
      </c>
      <c r="I545" s="29">
        <v>4014</v>
      </c>
      <c r="J545" s="29">
        <v>4917</v>
      </c>
      <c r="K545" s="29">
        <v>3994</v>
      </c>
      <c r="L545" s="29">
        <v>3816</v>
      </c>
      <c r="M545" s="29">
        <v>5375</v>
      </c>
      <c r="N545" s="29">
        <v>5558</v>
      </c>
      <c r="O545" s="29">
        <v>4592</v>
      </c>
      <c r="P545" s="30">
        <f t="shared" ref="P545:P550" si="131">SUM(D545:O545)</f>
        <v>50468</v>
      </c>
      <c r="Q545"/>
    </row>
    <row r="546" spans="1:17" ht="12.75" hidden="1" customHeight="1" x14ac:dyDescent="0.25">
      <c r="A546"/>
      <c r="B546" s="427"/>
      <c r="C546" s="134" t="s">
        <v>43</v>
      </c>
      <c r="D546" s="19">
        <v>2813</v>
      </c>
      <c r="E546" s="20">
        <v>2766</v>
      </c>
      <c r="F546" s="20">
        <v>3390</v>
      </c>
      <c r="G546" s="20">
        <v>2703</v>
      </c>
      <c r="H546" s="20">
        <v>2966</v>
      </c>
      <c r="I546" s="20">
        <v>3237</v>
      </c>
      <c r="J546" s="20">
        <v>2973</v>
      </c>
      <c r="K546" s="20">
        <v>4148</v>
      </c>
      <c r="L546" s="20">
        <v>3704</v>
      </c>
      <c r="M546" s="20">
        <v>4865</v>
      </c>
      <c r="N546" s="20">
        <v>4280</v>
      </c>
      <c r="O546" s="20">
        <v>4778</v>
      </c>
      <c r="P546" s="21">
        <f t="shared" si="131"/>
        <v>42623</v>
      </c>
      <c r="Q546"/>
    </row>
    <row r="547" spans="1:17" ht="12.75" hidden="1" customHeight="1" x14ac:dyDescent="0.25">
      <c r="A547"/>
      <c r="B547" s="427"/>
      <c r="C547" s="134" t="s">
        <v>74</v>
      </c>
      <c r="D547" s="19">
        <v>0</v>
      </c>
      <c r="E547" s="20">
        <v>0</v>
      </c>
      <c r="F547" s="20">
        <v>11</v>
      </c>
      <c r="G547" s="20">
        <v>51</v>
      </c>
      <c r="H547" s="20">
        <v>62</v>
      </c>
      <c r="I547" s="20">
        <v>55</v>
      </c>
      <c r="J547" s="20">
        <v>29</v>
      </c>
      <c r="K547" s="20">
        <v>43</v>
      </c>
      <c r="L547" s="20">
        <v>49</v>
      </c>
      <c r="M547" s="20">
        <v>127</v>
      </c>
      <c r="N547" s="20">
        <v>160</v>
      </c>
      <c r="O547" s="20">
        <v>140</v>
      </c>
      <c r="P547" s="148">
        <f t="shared" si="131"/>
        <v>727</v>
      </c>
      <c r="Q547"/>
    </row>
    <row r="548" spans="1:17" ht="12.75" hidden="1" customHeight="1" x14ac:dyDescent="0.25">
      <c r="A548"/>
      <c r="B548" s="427"/>
      <c r="C548" s="131" t="s">
        <v>5</v>
      </c>
      <c r="D548" s="22">
        <v>2957</v>
      </c>
      <c r="E548" s="23">
        <v>4141</v>
      </c>
      <c r="F548" s="23">
        <v>13076</v>
      </c>
      <c r="G548" s="23">
        <v>11837</v>
      </c>
      <c r="H548" s="23">
        <v>10668</v>
      </c>
      <c r="I548" s="23">
        <v>9074</v>
      </c>
      <c r="J548" s="23">
        <v>9893</v>
      </c>
      <c r="K548" s="23">
        <v>9805</v>
      </c>
      <c r="L548" s="23">
        <v>8326</v>
      </c>
      <c r="M548" s="23">
        <v>9781</v>
      </c>
      <c r="N548" s="23">
        <v>9001</v>
      </c>
      <c r="O548" s="23">
        <v>8643</v>
      </c>
      <c r="P548" s="59">
        <f t="shared" si="131"/>
        <v>107202</v>
      </c>
      <c r="Q548"/>
    </row>
    <row r="549" spans="1:17" ht="12.75" hidden="1" customHeight="1" x14ac:dyDescent="0.25">
      <c r="A549"/>
      <c r="B549" s="427"/>
      <c r="C549" s="131" t="s">
        <v>38</v>
      </c>
      <c r="D549" s="22">
        <v>326</v>
      </c>
      <c r="E549" s="23">
        <v>231</v>
      </c>
      <c r="F549" s="23">
        <v>280</v>
      </c>
      <c r="G549" s="23">
        <v>203</v>
      </c>
      <c r="H549" s="23">
        <v>140</v>
      </c>
      <c r="I549" s="23">
        <v>119</v>
      </c>
      <c r="J549" s="23">
        <v>195</v>
      </c>
      <c r="K549" s="23">
        <v>157</v>
      </c>
      <c r="L549" s="23">
        <v>55</v>
      </c>
      <c r="M549" s="23">
        <v>25</v>
      </c>
      <c r="N549" s="23">
        <v>19</v>
      </c>
      <c r="O549" s="23">
        <v>15</v>
      </c>
      <c r="P549" s="24">
        <f t="shared" si="131"/>
        <v>1765</v>
      </c>
      <c r="Q549"/>
    </row>
    <row r="550" spans="1:17" ht="12.75" hidden="1" customHeight="1" x14ac:dyDescent="0.25">
      <c r="A550"/>
      <c r="B550" s="427"/>
      <c r="C550" s="131" t="s">
        <v>83</v>
      </c>
      <c r="D550" s="22">
        <v>0</v>
      </c>
      <c r="E550" s="23">
        <v>0</v>
      </c>
      <c r="F550" s="23">
        <v>0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  <c r="M550" s="23">
        <v>0</v>
      </c>
      <c r="N550" s="23">
        <v>0</v>
      </c>
      <c r="O550" s="23">
        <v>1908</v>
      </c>
      <c r="P550" s="24">
        <f t="shared" si="131"/>
        <v>1908</v>
      </c>
      <c r="Q550"/>
    </row>
    <row r="551" spans="1:17" ht="12.75" hidden="1" customHeight="1" thickBot="1" x14ac:dyDescent="0.3">
      <c r="A551"/>
      <c r="B551" s="434"/>
      <c r="C551" s="135" t="s">
        <v>0</v>
      </c>
      <c r="D551" s="26">
        <f t="shared" ref="D551:O551" si="132">SUM(D545:D550)</f>
        <v>9603</v>
      </c>
      <c r="E551" s="26">
        <f t="shared" si="132"/>
        <v>10504</v>
      </c>
      <c r="F551" s="26">
        <f t="shared" si="132"/>
        <v>20855</v>
      </c>
      <c r="G551" s="26">
        <f t="shared" si="132"/>
        <v>18284</v>
      </c>
      <c r="H551" s="26">
        <f t="shared" si="132"/>
        <v>17577</v>
      </c>
      <c r="I551" s="26">
        <f t="shared" si="132"/>
        <v>16499</v>
      </c>
      <c r="J551" s="26">
        <f t="shared" si="132"/>
        <v>18007</v>
      </c>
      <c r="K551" s="26">
        <f t="shared" si="132"/>
        <v>18147</v>
      </c>
      <c r="L551" s="26">
        <f t="shared" si="132"/>
        <v>15950</v>
      </c>
      <c r="M551" s="26">
        <f t="shared" si="132"/>
        <v>20173</v>
      </c>
      <c r="N551" s="26">
        <f t="shared" si="132"/>
        <v>19018</v>
      </c>
      <c r="O551" s="26">
        <f t="shared" si="132"/>
        <v>20076</v>
      </c>
      <c r="P551" s="27">
        <f>SUM(P545:P550)</f>
        <v>204693</v>
      </c>
      <c r="Q551"/>
    </row>
    <row r="552" spans="1:17" ht="12.75" hidden="1" customHeight="1" x14ac:dyDescent="0.25">
      <c r="A552"/>
      <c r="B552" s="416" t="s">
        <v>6</v>
      </c>
      <c r="C552" s="129" t="s">
        <v>8</v>
      </c>
      <c r="D552" s="28">
        <v>3903</v>
      </c>
      <c r="E552" s="29">
        <v>3333</v>
      </c>
      <c r="F552" s="29">
        <v>4540</v>
      </c>
      <c r="G552" s="29">
        <v>4237</v>
      </c>
      <c r="H552" s="29">
        <v>3073</v>
      </c>
      <c r="I552" s="29">
        <v>5126</v>
      </c>
      <c r="J552" s="29">
        <v>4525</v>
      </c>
      <c r="K552" s="29">
        <v>2593</v>
      </c>
      <c r="L552" s="29">
        <v>4874</v>
      </c>
      <c r="M552" s="29">
        <v>4981</v>
      </c>
      <c r="N552" s="29">
        <v>5090</v>
      </c>
      <c r="O552" s="29">
        <v>3905</v>
      </c>
      <c r="P552" s="30">
        <f>SUM(D552:O552)</f>
        <v>50180</v>
      </c>
      <c r="Q552"/>
    </row>
    <row r="553" spans="1:17" ht="12.75" hidden="1" customHeight="1" x14ac:dyDescent="0.25">
      <c r="A553"/>
      <c r="B553" s="417"/>
      <c r="C553" s="134" t="s">
        <v>9</v>
      </c>
      <c r="D553" s="19">
        <v>6247</v>
      </c>
      <c r="E553" s="20">
        <v>7194</v>
      </c>
      <c r="F553" s="20">
        <v>8881</v>
      </c>
      <c r="G553" s="20">
        <v>9444</v>
      </c>
      <c r="H553" s="20">
        <v>9304</v>
      </c>
      <c r="I553" s="20">
        <v>8442</v>
      </c>
      <c r="J553" s="20">
        <v>8003</v>
      </c>
      <c r="K553" s="20">
        <v>6157</v>
      </c>
      <c r="L553" s="20">
        <v>6876</v>
      </c>
      <c r="M553" s="20">
        <v>9261</v>
      </c>
      <c r="N553" s="20">
        <v>8858</v>
      </c>
      <c r="O553" s="20">
        <v>9328</v>
      </c>
      <c r="P553" s="21">
        <f>SUM(D553:O553)</f>
        <v>97995</v>
      </c>
      <c r="Q553"/>
    </row>
    <row r="554" spans="1:17" ht="12.75" hidden="1" customHeight="1" thickBot="1" x14ac:dyDescent="0.3">
      <c r="A554"/>
      <c r="B554" s="418"/>
      <c r="C554" s="133" t="s">
        <v>0</v>
      </c>
      <c r="D554" s="32">
        <f t="shared" ref="D554:L554" si="133">SUM(D552:D553)</f>
        <v>10150</v>
      </c>
      <c r="E554" s="32">
        <f t="shared" si="133"/>
        <v>10527</v>
      </c>
      <c r="F554" s="32">
        <f t="shared" si="133"/>
        <v>13421</v>
      </c>
      <c r="G554" s="32">
        <f t="shared" si="133"/>
        <v>13681</v>
      </c>
      <c r="H554" s="32">
        <f t="shared" si="133"/>
        <v>12377</v>
      </c>
      <c r="I554" s="32">
        <f t="shared" si="133"/>
        <v>13568</v>
      </c>
      <c r="J554" s="32">
        <f t="shared" si="133"/>
        <v>12528</v>
      </c>
      <c r="K554" s="32">
        <f t="shared" si="133"/>
        <v>8750</v>
      </c>
      <c r="L554" s="32">
        <f t="shared" si="133"/>
        <v>11750</v>
      </c>
      <c r="M554" s="32">
        <f>SUM(M552:M553)</f>
        <v>14242</v>
      </c>
      <c r="N554" s="32">
        <f>SUM(N552:N553)</f>
        <v>13948</v>
      </c>
      <c r="O554" s="32">
        <f>SUM(O552:O553)</f>
        <v>13233</v>
      </c>
      <c r="P554" s="33">
        <f>SUM(P552:P553)</f>
        <v>148175</v>
      </c>
      <c r="Q554"/>
    </row>
    <row r="555" spans="1:17" ht="12.75" hidden="1" customHeight="1" x14ac:dyDescent="0.25">
      <c r="A555"/>
      <c r="B555" s="416" t="s">
        <v>7</v>
      </c>
      <c r="C555" s="129" t="s">
        <v>10</v>
      </c>
      <c r="D555" s="28">
        <f>80+181+478</f>
        <v>739</v>
      </c>
      <c r="E555" s="29">
        <v>784</v>
      </c>
      <c r="F555" s="29">
        <v>955</v>
      </c>
      <c r="G555" s="29">
        <v>804</v>
      </c>
      <c r="H555" s="29">
        <v>744</v>
      </c>
      <c r="I555" s="29">
        <v>796</v>
      </c>
      <c r="J555" s="29">
        <v>755</v>
      </c>
      <c r="K555" s="29">
        <v>536</v>
      </c>
      <c r="L555" s="29">
        <v>610</v>
      </c>
      <c r="M555" s="29">
        <v>732</v>
      </c>
      <c r="N555" s="29">
        <v>596</v>
      </c>
      <c r="O555" s="29">
        <v>579</v>
      </c>
      <c r="P555" s="30">
        <f>SUM(D555:O555)</f>
        <v>8630</v>
      </c>
      <c r="Q555"/>
    </row>
    <row r="556" spans="1:17" ht="12.75" hidden="1" customHeight="1" x14ac:dyDescent="0.25">
      <c r="A556"/>
      <c r="B556" s="417"/>
      <c r="C556" s="134" t="s">
        <v>11</v>
      </c>
      <c r="D556" s="19">
        <f>1200+376</f>
        <v>1576</v>
      </c>
      <c r="E556" s="20">
        <v>1416</v>
      </c>
      <c r="F556" s="20">
        <v>1997</v>
      </c>
      <c r="G556" s="20">
        <v>2226</v>
      </c>
      <c r="H556" s="20">
        <v>2096</v>
      </c>
      <c r="I556" s="20">
        <v>1904</v>
      </c>
      <c r="J556" s="20">
        <v>1752</v>
      </c>
      <c r="K556" s="20">
        <v>1717</v>
      </c>
      <c r="L556" s="20">
        <v>1193</v>
      </c>
      <c r="M556" s="20">
        <v>1668</v>
      </c>
      <c r="N556" s="20">
        <v>1704</v>
      </c>
      <c r="O556" s="20">
        <v>1372</v>
      </c>
      <c r="P556" s="21">
        <f>SUM(D556:O556)</f>
        <v>20621</v>
      </c>
      <c r="Q556"/>
    </row>
    <row r="557" spans="1:17" ht="12.75" hidden="1" customHeight="1" thickBot="1" x14ac:dyDescent="0.3">
      <c r="A557"/>
      <c r="B557" s="418"/>
      <c r="C557" s="133" t="s">
        <v>0</v>
      </c>
      <c r="D557" s="32">
        <f t="shared" ref="D557:I557" si="134">SUM(D555:D556)</f>
        <v>2315</v>
      </c>
      <c r="E557" s="32">
        <f t="shared" si="134"/>
        <v>2200</v>
      </c>
      <c r="F557" s="32">
        <f t="shared" si="134"/>
        <v>2952</v>
      </c>
      <c r="G557" s="32">
        <f t="shared" si="134"/>
        <v>3030</v>
      </c>
      <c r="H557" s="32">
        <f t="shared" si="134"/>
        <v>2840</v>
      </c>
      <c r="I557" s="32">
        <f t="shared" si="134"/>
        <v>2700</v>
      </c>
      <c r="J557" s="32">
        <f t="shared" ref="J557:P557" si="135">SUM(J555:J556)</f>
        <v>2507</v>
      </c>
      <c r="K557" s="32">
        <f t="shared" si="135"/>
        <v>2253</v>
      </c>
      <c r="L557" s="32">
        <f t="shared" si="135"/>
        <v>1803</v>
      </c>
      <c r="M557" s="32">
        <f t="shared" si="135"/>
        <v>2400</v>
      </c>
      <c r="N557" s="32">
        <f t="shared" si="135"/>
        <v>2300</v>
      </c>
      <c r="O557" s="32">
        <f t="shared" si="135"/>
        <v>1951</v>
      </c>
      <c r="P557" s="33">
        <f t="shared" si="135"/>
        <v>29251</v>
      </c>
      <c r="Q557"/>
    </row>
    <row r="558" spans="1:17" ht="4.5" hidden="1" customHeight="1" x14ac:dyDescent="0.25">
      <c r="A558"/>
      <c r="B558" s="429" t="s">
        <v>4</v>
      </c>
      <c r="C558" s="129" t="s">
        <v>65</v>
      </c>
      <c r="D558" s="110">
        <v>1418</v>
      </c>
      <c r="E558" s="110">
        <v>1062</v>
      </c>
      <c r="F558" s="110">
        <v>1233</v>
      </c>
      <c r="G558" s="110">
        <v>1103</v>
      </c>
      <c r="H558" s="110">
        <v>967</v>
      </c>
      <c r="I558" s="110">
        <v>1035</v>
      </c>
      <c r="J558" s="110">
        <v>890</v>
      </c>
      <c r="K558" s="110">
        <v>1138</v>
      </c>
      <c r="L558" s="110">
        <v>1024</v>
      </c>
      <c r="M558" s="110">
        <v>1406</v>
      </c>
      <c r="N558" s="110">
        <v>1550</v>
      </c>
      <c r="O558" s="110">
        <v>1591</v>
      </c>
      <c r="P558" s="111">
        <f>SUM(D558:O558)</f>
        <v>14417</v>
      </c>
      <c r="Q558"/>
    </row>
    <row r="559" spans="1:17" hidden="1" x14ac:dyDescent="0.25">
      <c r="A559"/>
      <c r="B559" s="430"/>
      <c r="C559" s="136" t="s">
        <v>67</v>
      </c>
      <c r="D559" s="99">
        <v>4047</v>
      </c>
      <c r="E559" s="99">
        <v>3055</v>
      </c>
      <c r="F559" s="99">
        <v>3618</v>
      </c>
      <c r="G559" s="99">
        <v>3132</v>
      </c>
      <c r="H559" s="99">
        <v>2976</v>
      </c>
      <c r="I559" s="99">
        <v>3116</v>
      </c>
      <c r="J559" s="99">
        <v>2621</v>
      </c>
      <c r="K559" s="99">
        <v>2982</v>
      </c>
      <c r="L559" s="99">
        <v>2767</v>
      </c>
      <c r="M559" s="99">
        <v>3411</v>
      </c>
      <c r="N559" s="99">
        <v>2889</v>
      </c>
      <c r="O559" s="99">
        <v>2605</v>
      </c>
      <c r="P559" s="100">
        <f>SUM(D559:O559)</f>
        <v>37219</v>
      </c>
    </row>
    <row r="560" spans="1:17" ht="9.9" hidden="1" customHeight="1" x14ac:dyDescent="0.25">
      <c r="A560"/>
      <c r="B560" s="430"/>
      <c r="C560" s="131" t="s">
        <v>81</v>
      </c>
      <c r="D560" s="22">
        <v>939</v>
      </c>
      <c r="E560" s="23">
        <v>843</v>
      </c>
      <c r="F560" s="23">
        <v>992</v>
      </c>
      <c r="G560" s="23">
        <v>913</v>
      </c>
      <c r="H560" s="23">
        <v>836</v>
      </c>
      <c r="I560" s="23">
        <v>622</v>
      </c>
      <c r="J560" s="23">
        <v>501</v>
      </c>
      <c r="K560" s="23">
        <v>405</v>
      </c>
      <c r="L560" s="23">
        <v>328</v>
      </c>
      <c r="M560" s="23">
        <v>309</v>
      </c>
      <c r="N560" s="23">
        <v>882</v>
      </c>
      <c r="O560" s="23">
        <v>2139</v>
      </c>
      <c r="P560" s="24">
        <f>SUM(D560:O560)</f>
        <v>9709</v>
      </c>
    </row>
    <row r="561" spans="1:17" s="15" customFormat="1" ht="9.9" hidden="1" customHeight="1" thickBot="1" x14ac:dyDescent="0.3">
      <c r="A561"/>
      <c r="B561" s="431"/>
      <c r="C561" s="31" t="s">
        <v>0</v>
      </c>
      <c r="D561" s="32">
        <f>SUM(D558:D560)</f>
        <v>6404</v>
      </c>
      <c r="E561" s="32">
        <f t="shared" ref="E561:P561" si="136">SUM(E558:E560)</f>
        <v>4960</v>
      </c>
      <c r="F561" s="32">
        <f t="shared" si="136"/>
        <v>5843</v>
      </c>
      <c r="G561" s="32">
        <f t="shared" si="136"/>
        <v>5148</v>
      </c>
      <c r="H561" s="32">
        <f t="shared" si="136"/>
        <v>4779</v>
      </c>
      <c r="I561" s="32">
        <f t="shared" si="136"/>
        <v>4773</v>
      </c>
      <c r="J561" s="32">
        <f t="shared" si="136"/>
        <v>4012</v>
      </c>
      <c r="K561" s="32">
        <f t="shared" si="136"/>
        <v>4525</v>
      </c>
      <c r="L561" s="32">
        <f t="shared" si="136"/>
        <v>4119</v>
      </c>
      <c r="M561" s="32">
        <f t="shared" si="136"/>
        <v>5126</v>
      </c>
      <c r="N561" s="32">
        <f t="shared" si="136"/>
        <v>5321</v>
      </c>
      <c r="O561" s="32">
        <f t="shared" si="136"/>
        <v>6335</v>
      </c>
      <c r="P561" s="32">
        <f t="shared" si="136"/>
        <v>61345</v>
      </c>
    </row>
    <row r="562" spans="1:17" ht="4.5" hidden="1" customHeight="1" thickBot="1" x14ac:dyDescent="0.3">
      <c r="A562"/>
      <c r="B562" s="435" t="s">
        <v>2</v>
      </c>
      <c r="C562" s="436"/>
      <c r="D562" s="34">
        <f t="shared" ref="D562:O562" si="137">D544+D551+D557+D554+D561</f>
        <v>51426</v>
      </c>
      <c r="E562" s="34">
        <f t="shared" si="137"/>
        <v>50200</v>
      </c>
      <c r="F562" s="34">
        <f t="shared" si="137"/>
        <v>67577</v>
      </c>
      <c r="G562" s="34">
        <f t="shared" si="137"/>
        <v>63788</v>
      </c>
      <c r="H562" s="34">
        <f t="shared" si="137"/>
        <v>61896</v>
      </c>
      <c r="I562" s="34">
        <f t="shared" si="137"/>
        <v>59494</v>
      </c>
      <c r="J562" s="34">
        <f t="shared" si="137"/>
        <v>60367</v>
      </c>
      <c r="K562" s="34">
        <f t="shared" si="137"/>
        <v>58582</v>
      </c>
      <c r="L562" s="34">
        <f t="shared" si="137"/>
        <v>52494</v>
      </c>
      <c r="M562" s="34">
        <f t="shared" si="137"/>
        <v>66288</v>
      </c>
      <c r="N562" s="34">
        <f t="shared" si="137"/>
        <v>64131</v>
      </c>
      <c r="O562" s="34">
        <f t="shared" si="137"/>
        <v>64835</v>
      </c>
      <c r="P562" s="34">
        <f>SUM(P544,P551,P561,P554,P557)</f>
        <v>721078</v>
      </c>
      <c r="Q562"/>
    </row>
    <row r="563" spans="1:17" hidden="1" x14ac:dyDescent="0.25">
      <c r="A563"/>
      <c r="J563" s="92"/>
    </row>
    <row r="564" spans="1:17" ht="9.9" hidden="1" customHeight="1" x14ac:dyDescent="0.25">
      <c r="A564"/>
      <c r="B564" s="63" t="s">
        <v>46</v>
      </c>
      <c r="C564" s="64"/>
      <c r="D564" s="65">
        <f t="shared" ref="D564:P564" si="138">SUM(D565:D566)</f>
        <v>1298</v>
      </c>
      <c r="E564" s="65">
        <f t="shared" si="138"/>
        <v>1282</v>
      </c>
      <c r="F564" s="65">
        <f t="shared" si="138"/>
        <v>1097</v>
      </c>
      <c r="G564" s="65">
        <f t="shared" si="138"/>
        <v>852</v>
      </c>
      <c r="H564" s="65">
        <f t="shared" si="138"/>
        <v>814</v>
      </c>
      <c r="I564" s="65">
        <f t="shared" si="138"/>
        <v>746</v>
      </c>
      <c r="J564" s="65">
        <f t="shared" si="138"/>
        <v>417</v>
      </c>
      <c r="K564" s="65">
        <f t="shared" si="138"/>
        <v>488</v>
      </c>
      <c r="L564" s="65">
        <f t="shared" si="138"/>
        <v>360</v>
      </c>
      <c r="M564" s="65">
        <f t="shared" si="138"/>
        <v>541</v>
      </c>
      <c r="N564" s="65">
        <f t="shared" si="138"/>
        <v>687</v>
      </c>
      <c r="O564" s="65">
        <f t="shared" si="138"/>
        <v>844</v>
      </c>
      <c r="P564" s="66">
        <f t="shared" si="138"/>
        <v>9426</v>
      </c>
    </row>
    <row r="565" spans="1:17" ht="9.9" hidden="1" customHeight="1" x14ac:dyDescent="0.25">
      <c r="A565"/>
      <c r="B565" s="67"/>
      <c r="C565" s="68" t="s">
        <v>92</v>
      </c>
      <c r="D565" s="79">
        <v>1086</v>
      </c>
      <c r="E565" s="79">
        <v>949</v>
      </c>
      <c r="F565" s="69">
        <v>886</v>
      </c>
      <c r="G565" s="80">
        <v>485</v>
      </c>
      <c r="H565" s="69">
        <v>548</v>
      </c>
      <c r="I565" s="77">
        <v>534</v>
      </c>
      <c r="J565" s="77">
        <v>252</v>
      </c>
      <c r="K565" s="69">
        <v>113</v>
      </c>
      <c r="L565" s="69">
        <v>102</v>
      </c>
      <c r="M565" s="69">
        <v>183</v>
      </c>
      <c r="N565" s="69">
        <v>187</v>
      </c>
      <c r="O565" s="69">
        <v>281</v>
      </c>
      <c r="P565" s="150">
        <f>SUM(D565:O565)</f>
        <v>5606</v>
      </c>
    </row>
    <row r="566" spans="1:17" s="15" customFormat="1" ht="9.9" hidden="1" customHeight="1" x14ac:dyDescent="0.25">
      <c r="B566" s="71"/>
      <c r="C566" s="68" t="s">
        <v>91</v>
      </c>
      <c r="D566" s="79">
        <v>212</v>
      </c>
      <c r="E566" s="79">
        <v>333</v>
      </c>
      <c r="F566" s="69">
        <v>211</v>
      </c>
      <c r="G566" s="80">
        <v>367</v>
      </c>
      <c r="H566" s="69">
        <v>266</v>
      </c>
      <c r="I566" s="77">
        <v>212</v>
      </c>
      <c r="J566" s="151">
        <v>165</v>
      </c>
      <c r="K566" s="152">
        <v>375</v>
      </c>
      <c r="L566" s="152">
        <v>258</v>
      </c>
      <c r="M566" s="152">
        <v>358</v>
      </c>
      <c r="N566" s="152">
        <v>500</v>
      </c>
      <c r="O566" s="152">
        <v>563</v>
      </c>
      <c r="P566" s="150">
        <f>SUM(D566:O566)</f>
        <v>3820</v>
      </c>
    </row>
    <row r="567" spans="1:17" ht="4.5" hidden="1" customHeight="1" x14ac:dyDescent="0.25">
      <c r="A567"/>
      <c r="J567" s="92"/>
      <c r="Q567"/>
    </row>
    <row r="568" spans="1:17" hidden="1" x14ac:dyDescent="0.25">
      <c r="A568"/>
      <c r="B568" s="73" t="s">
        <v>21</v>
      </c>
      <c r="C568" s="74"/>
      <c r="D568" s="65">
        <f t="shared" ref="D568:P568" si="139">SUM(D569:D571)</f>
        <v>5520</v>
      </c>
      <c r="E568" s="65">
        <f t="shared" si="139"/>
        <v>5079</v>
      </c>
      <c r="F568" s="65">
        <f t="shared" si="139"/>
        <v>5685</v>
      </c>
      <c r="G568" s="65">
        <f t="shared" si="139"/>
        <v>5699</v>
      </c>
      <c r="H568" s="65">
        <f t="shared" si="139"/>
        <v>5542</v>
      </c>
      <c r="I568" s="65">
        <f t="shared" si="139"/>
        <v>5245</v>
      </c>
      <c r="J568" s="65">
        <f t="shared" si="139"/>
        <v>5948</v>
      </c>
      <c r="K568" s="65">
        <f t="shared" si="139"/>
        <v>5881</v>
      </c>
      <c r="L568" s="65">
        <f t="shared" si="139"/>
        <v>4396</v>
      </c>
      <c r="M568" s="65">
        <f t="shared" si="139"/>
        <v>6326</v>
      </c>
      <c r="N568" s="65">
        <f t="shared" si="139"/>
        <v>5335</v>
      </c>
      <c r="O568" s="65">
        <f t="shared" si="139"/>
        <v>5190</v>
      </c>
      <c r="P568" s="65">
        <f t="shared" si="139"/>
        <v>65846</v>
      </c>
    </row>
    <row r="569" spans="1:17" ht="9.75" hidden="1" customHeight="1" x14ac:dyDescent="0.25">
      <c r="A569"/>
      <c r="B569" s="67"/>
      <c r="C569" s="68" t="s">
        <v>22</v>
      </c>
      <c r="D569" s="69">
        <v>0</v>
      </c>
      <c r="E569" s="69">
        <v>0</v>
      </c>
      <c r="F569" s="69">
        <v>0</v>
      </c>
      <c r="G569" s="69">
        <v>0</v>
      </c>
      <c r="H569" s="69">
        <v>0</v>
      </c>
      <c r="I569" s="69"/>
      <c r="J569" s="69"/>
      <c r="K569" s="69"/>
      <c r="L569" s="69"/>
      <c r="M569" s="69"/>
      <c r="N569" s="69"/>
      <c r="O569" s="69"/>
      <c r="P569" s="70">
        <f>SUM(D569:O569)</f>
        <v>0</v>
      </c>
    </row>
    <row r="570" spans="1:17" ht="9.75" hidden="1" customHeight="1" x14ac:dyDescent="0.25">
      <c r="B570" s="67"/>
      <c r="C570" s="68" t="s">
        <v>40</v>
      </c>
      <c r="D570" s="93">
        <v>5230</v>
      </c>
      <c r="E570" s="93">
        <v>4781</v>
      </c>
      <c r="F570" s="93">
        <v>5377</v>
      </c>
      <c r="G570" s="69">
        <v>5365</v>
      </c>
      <c r="H570" s="69">
        <v>5191</v>
      </c>
      <c r="I570" s="69">
        <v>4941</v>
      </c>
      <c r="J570" s="69">
        <v>5610</v>
      </c>
      <c r="K570" s="69">
        <v>5541</v>
      </c>
      <c r="L570" s="69">
        <v>4147</v>
      </c>
      <c r="M570" s="69">
        <v>5993</v>
      </c>
      <c r="N570" s="69">
        <v>4909</v>
      </c>
      <c r="O570" s="69">
        <v>4639</v>
      </c>
      <c r="P570" s="150">
        <f>SUM(D570:O570)</f>
        <v>61724</v>
      </c>
    </row>
    <row r="571" spans="1:17" ht="4.5" hidden="1" customHeight="1" x14ac:dyDescent="0.25">
      <c r="B571" s="71"/>
      <c r="C571" s="96" t="s">
        <v>90</v>
      </c>
      <c r="D571" s="93">
        <v>290</v>
      </c>
      <c r="E571" s="93">
        <v>298</v>
      </c>
      <c r="F571" s="93">
        <v>308</v>
      </c>
      <c r="G571" s="93">
        <v>334</v>
      </c>
      <c r="H571" s="93">
        <v>351</v>
      </c>
      <c r="I571" s="93">
        <v>304</v>
      </c>
      <c r="J571" s="93">
        <v>338</v>
      </c>
      <c r="K571" s="93">
        <v>340</v>
      </c>
      <c r="L571" s="93">
        <v>249</v>
      </c>
      <c r="M571" s="93">
        <v>333</v>
      </c>
      <c r="N571" s="93">
        <v>426</v>
      </c>
      <c r="O571" s="152">
        <v>551</v>
      </c>
      <c r="P571" s="150">
        <f>SUM(D571:O571)</f>
        <v>4122</v>
      </c>
      <c r="Q571"/>
    </row>
    <row r="572" spans="1:17" ht="9.9" hidden="1" customHeight="1" x14ac:dyDescent="0.25">
      <c r="J572" s="92"/>
    </row>
    <row r="573" spans="1:17" ht="9.9" hidden="1" customHeight="1" x14ac:dyDescent="0.25">
      <c r="B573" s="63" t="s">
        <v>23</v>
      </c>
      <c r="C573" s="64"/>
      <c r="D573" s="65">
        <f t="shared" ref="D573:P573" si="140">SUM(D574:D575)</f>
        <v>9601</v>
      </c>
      <c r="E573" s="65">
        <f t="shared" si="140"/>
        <v>8984</v>
      </c>
      <c r="F573" s="65">
        <f t="shared" si="140"/>
        <v>10598</v>
      </c>
      <c r="G573" s="65">
        <f t="shared" si="140"/>
        <v>9904</v>
      </c>
      <c r="H573" s="65">
        <f t="shared" si="140"/>
        <v>10436</v>
      </c>
      <c r="I573" s="65">
        <f t="shared" si="140"/>
        <v>8945</v>
      </c>
      <c r="J573" s="65">
        <f t="shared" si="140"/>
        <v>8571</v>
      </c>
      <c r="K573" s="65">
        <f t="shared" si="140"/>
        <v>8905</v>
      </c>
      <c r="L573" s="65">
        <f t="shared" si="140"/>
        <v>7510</v>
      </c>
      <c r="M573" s="65">
        <f t="shared" si="140"/>
        <v>9037</v>
      </c>
      <c r="N573" s="65">
        <f t="shared" si="140"/>
        <v>10191</v>
      </c>
      <c r="O573" s="65">
        <f t="shared" si="140"/>
        <v>10419</v>
      </c>
      <c r="P573" s="65">
        <f t="shared" si="140"/>
        <v>113101</v>
      </c>
    </row>
    <row r="574" spans="1:17" ht="9.9" hidden="1" customHeight="1" x14ac:dyDescent="0.25">
      <c r="B574" s="67"/>
      <c r="C574" s="102" t="s">
        <v>56</v>
      </c>
      <c r="D574" s="103">
        <v>7662</v>
      </c>
      <c r="E574" s="103">
        <v>7359</v>
      </c>
      <c r="F574" s="104">
        <v>8653</v>
      </c>
      <c r="G574" s="105">
        <v>8176</v>
      </c>
      <c r="H574" s="104">
        <v>7915</v>
      </c>
      <c r="I574" s="106">
        <v>6674</v>
      </c>
      <c r="J574" s="106">
        <v>6567</v>
      </c>
      <c r="K574" s="104">
        <v>7600</v>
      </c>
      <c r="L574" s="104">
        <v>5564</v>
      </c>
      <c r="M574" s="104">
        <v>6737</v>
      </c>
      <c r="N574" s="104">
        <v>7614</v>
      </c>
      <c r="O574" s="104">
        <v>8012</v>
      </c>
      <c r="P574" s="107">
        <f>SUM(D574:O574)</f>
        <v>88533</v>
      </c>
    </row>
    <row r="575" spans="1:17" s="147" customFormat="1" ht="6" hidden="1" customHeight="1" x14ac:dyDescent="0.25">
      <c r="A575" s="15"/>
      <c r="B575" s="71"/>
      <c r="C575" s="68" t="s">
        <v>91</v>
      </c>
      <c r="D575" s="79">
        <v>1939</v>
      </c>
      <c r="E575" s="79">
        <v>1625</v>
      </c>
      <c r="F575" s="69">
        <v>1945</v>
      </c>
      <c r="G575" s="80">
        <v>1728</v>
      </c>
      <c r="H575" s="69">
        <v>2521</v>
      </c>
      <c r="I575" s="77">
        <v>2271</v>
      </c>
      <c r="J575" s="151">
        <v>2004</v>
      </c>
      <c r="K575" s="152">
        <v>1305</v>
      </c>
      <c r="L575" s="152">
        <v>1946</v>
      </c>
      <c r="M575" s="152">
        <v>2300</v>
      </c>
      <c r="N575" s="152">
        <v>2577</v>
      </c>
      <c r="O575" s="152">
        <v>2407</v>
      </c>
      <c r="P575" s="150">
        <f>SUM(D575:O575)</f>
        <v>24568</v>
      </c>
      <c r="Q575" s="146"/>
    </row>
    <row r="576" spans="1:17" hidden="1" x14ac:dyDescent="0.25">
      <c r="J576" s="92"/>
    </row>
    <row r="577" spans="1:17" ht="9.9" hidden="1" customHeight="1" x14ac:dyDescent="0.25">
      <c r="B577" s="63" t="s">
        <v>76</v>
      </c>
      <c r="C577" s="64"/>
      <c r="D577" s="65">
        <f t="shared" ref="D577:P577" si="141">SUM(D578:D579)</f>
        <v>3507</v>
      </c>
      <c r="E577" s="65">
        <f t="shared" si="141"/>
        <v>3366</v>
      </c>
      <c r="F577" s="65">
        <f t="shared" si="141"/>
        <v>4098</v>
      </c>
      <c r="G577" s="65">
        <f t="shared" si="141"/>
        <v>3490</v>
      </c>
      <c r="H577" s="65">
        <f t="shared" si="141"/>
        <v>3741</v>
      </c>
      <c r="I577" s="65">
        <f t="shared" si="141"/>
        <v>4014</v>
      </c>
      <c r="J577" s="65">
        <f t="shared" si="141"/>
        <v>4917</v>
      </c>
      <c r="K577" s="65">
        <f t="shared" si="141"/>
        <v>3994</v>
      </c>
      <c r="L577" s="65">
        <f t="shared" si="141"/>
        <v>3816</v>
      </c>
      <c r="M577" s="65">
        <f t="shared" si="141"/>
        <v>5375</v>
      </c>
      <c r="N577" s="65">
        <f t="shared" si="141"/>
        <v>5558</v>
      </c>
      <c r="O577" s="65">
        <f t="shared" si="141"/>
        <v>4592</v>
      </c>
      <c r="P577" s="66">
        <f t="shared" si="141"/>
        <v>50468</v>
      </c>
    </row>
    <row r="578" spans="1:17" ht="9.9" hidden="1" customHeight="1" x14ac:dyDescent="0.25">
      <c r="B578" s="67"/>
      <c r="C578" s="68" t="s">
        <v>77</v>
      </c>
      <c r="D578" s="79">
        <v>3507</v>
      </c>
      <c r="E578" s="79">
        <v>3366</v>
      </c>
      <c r="F578" s="69">
        <v>4098</v>
      </c>
      <c r="G578" s="80">
        <v>3490</v>
      </c>
      <c r="H578" s="69">
        <v>3437</v>
      </c>
      <c r="I578" s="77">
        <v>2938</v>
      </c>
      <c r="J578" s="151">
        <v>3600</v>
      </c>
      <c r="K578" s="152">
        <v>3346</v>
      </c>
      <c r="L578" s="152">
        <v>2434</v>
      </c>
      <c r="M578" s="152">
        <v>2902</v>
      </c>
      <c r="N578" s="152">
        <v>2652</v>
      </c>
      <c r="O578" s="152">
        <v>3505</v>
      </c>
      <c r="P578" s="150">
        <f>SUM(D578:O578)</f>
        <v>39275</v>
      </c>
    </row>
    <row r="579" spans="1:17" ht="6" hidden="1" customHeight="1" x14ac:dyDescent="0.25">
      <c r="B579" s="67"/>
      <c r="C579" s="68" t="s">
        <v>51</v>
      </c>
      <c r="D579" s="79">
        <v>0</v>
      </c>
      <c r="E579" s="79">
        <v>0</v>
      </c>
      <c r="F579" s="69">
        <v>0</v>
      </c>
      <c r="G579" s="80">
        <v>0</v>
      </c>
      <c r="H579" s="69">
        <v>304</v>
      </c>
      <c r="I579" s="77">
        <v>1076</v>
      </c>
      <c r="J579" s="77">
        <v>1317</v>
      </c>
      <c r="K579" s="69">
        <v>648</v>
      </c>
      <c r="L579" s="69">
        <v>1382</v>
      </c>
      <c r="M579" s="69">
        <v>2473</v>
      </c>
      <c r="N579" s="69">
        <v>2906</v>
      </c>
      <c r="O579" s="69">
        <v>1087</v>
      </c>
      <c r="P579" s="150">
        <f>SUM(D579:O579)</f>
        <v>11193</v>
      </c>
    </row>
    <row r="580" spans="1:17" hidden="1" x14ac:dyDescent="0.25">
      <c r="A580" s="142"/>
      <c r="B580" s="142"/>
      <c r="C580" s="142"/>
      <c r="D580" s="143"/>
      <c r="E580" s="143"/>
      <c r="F580" s="143"/>
      <c r="G580" s="143"/>
      <c r="H580" s="143"/>
      <c r="I580" s="143"/>
      <c r="J580" s="144"/>
      <c r="K580" s="144"/>
      <c r="L580" s="144"/>
      <c r="M580" s="144"/>
      <c r="N580" s="144"/>
      <c r="O580" s="144"/>
      <c r="P580" s="145"/>
    </row>
    <row r="581" spans="1:17" ht="9.9" hidden="1" customHeight="1" x14ac:dyDescent="0.25">
      <c r="B581" s="63" t="s">
        <v>70</v>
      </c>
      <c r="C581" s="64"/>
      <c r="D581" s="65">
        <f t="shared" ref="D581:P581" si="142">SUM(D582:D583)</f>
        <v>2957</v>
      </c>
      <c r="E581" s="65">
        <f t="shared" si="142"/>
        <v>4141</v>
      </c>
      <c r="F581" s="65">
        <f t="shared" si="142"/>
        <v>13076</v>
      </c>
      <c r="G581" s="65">
        <f t="shared" si="142"/>
        <v>11837</v>
      </c>
      <c r="H581" s="65">
        <f t="shared" si="142"/>
        <v>10668</v>
      </c>
      <c r="I581" s="65">
        <f t="shared" si="142"/>
        <v>9074</v>
      </c>
      <c r="J581" s="65">
        <f t="shared" si="142"/>
        <v>9893</v>
      </c>
      <c r="K581" s="65">
        <f t="shared" si="142"/>
        <v>9805</v>
      </c>
      <c r="L581" s="65">
        <f t="shared" si="142"/>
        <v>8326</v>
      </c>
      <c r="M581" s="65">
        <f t="shared" si="142"/>
        <v>9781</v>
      </c>
      <c r="N581" s="65">
        <f t="shared" si="142"/>
        <v>9001</v>
      </c>
      <c r="O581" s="65">
        <f t="shared" si="142"/>
        <v>8643</v>
      </c>
      <c r="P581" s="66">
        <f t="shared" si="142"/>
        <v>107202</v>
      </c>
    </row>
    <row r="582" spans="1:17" ht="9.9" hidden="1" customHeight="1" x14ac:dyDescent="0.25">
      <c r="B582" s="67"/>
      <c r="C582" s="68" t="s">
        <v>71</v>
      </c>
      <c r="D582" s="79">
        <v>2957</v>
      </c>
      <c r="E582" s="79">
        <v>2494</v>
      </c>
      <c r="F582" s="69">
        <v>1457</v>
      </c>
      <c r="G582" s="80">
        <v>841</v>
      </c>
      <c r="H582" s="69">
        <v>296</v>
      </c>
      <c r="I582" s="77">
        <v>10</v>
      </c>
      <c r="J582" s="77">
        <v>2</v>
      </c>
      <c r="K582" s="69">
        <v>2</v>
      </c>
      <c r="L582" s="69">
        <v>0</v>
      </c>
      <c r="M582" s="69">
        <v>0</v>
      </c>
      <c r="N582" s="69">
        <v>0</v>
      </c>
      <c r="O582" s="69">
        <v>0</v>
      </c>
      <c r="P582" s="150">
        <f>SUM(D582:O582)</f>
        <v>8059</v>
      </c>
    </row>
    <row r="583" spans="1:17" s="11" customFormat="1" ht="6.75" hidden="1" customHeight="1" x14ac:dyDescent="0.25">
      <c r="A583" s="15"/>
      <c r="B583" s="71"/>
      <c r="C583" s="68" t="s">
        <v>72</v>
      </c>
      <c r="D583" s="79">
        <v>0</v>
      </c>
      <c r="E583" s="79">
        <v>1647</v>
      </c>
      <c r="F583" s="69">
        <v>11619</v>
      </c>
      <c r="G583" s="80">
        <v>10996</v>
      </c>
      <c r="H583" s="69">
        <v>10372</v>
      </c>
      <c r="I583" s="77">
        <v>9064</v>
      </c>
      <c r="J583" s="151">
        <v>9891</v>
      </c>
      <c r="K583" s="152">
        <v>9803</v>
      </c>
      <c r="L583" s="152">
        <v>8326</v>
      </c>
      <c r="M583" s="152">
        <v>9781</v>
      </c>
      <c r="N583" s="152">
        <v>9001</v>
      </c>
      <c r="O583" s="152">
        <v>8643</v>
      </c>
      <c r="P583" s="150">
        <f>SUM(D583:O583)</f>
        <v>99143</v>
      </c>
      <c r="Q583" s="90"/>
    </row>
    <row r="584" spans="1:17" hidden="1" x14ac:dyDescent="0.25">
      <c r="D584" s="149"/>
      <c r="E584" s="149"/>
      <c r="F584" s="149"/>
      <c r="G584" s="149"/>
      <c r="H584" s="149"/>
      <c r="I584" s="149"/>
      <c r="J584" s="75"/>
      <c r="K584" s="75"/>
      <c r="L584" s="75"/>
      <c r="M584" s="75"/>
      <c r="N584" s="75"/>
      <c r="O584" s="75"/>
      <c r="P584" s="76"/>
    </row>
    <row r="585" spans="1:17" ht="12.75" hidden="1" customHeight="1" x14ac:dyDescent="0.25">
      <c r="B585" s="63" t="s">
        <v>78</v>
      </c>
      <c r="C585" s="64"/>
      <c r="D585" s="65">
        <f t="shared" ref="D585:P585" si="143">SUM(D586:D587)</f>
        <v>939</v>
      </c>
      <c r="E585" s="65">
        <f t="shared" si="143"/>
        <v>843</v>
      </c>
      <c r="F585" s="65">
        <f t="shared" si="143"/>
        <v>992</v>
      </c>
      <c r="G585" s="65">
        <f t="shared" si="143"/>
        <v>913</v>
      </c>
      <c r="H585" s="65">
        <f t="shared" si="143"/>
        <v>836</v>
      </c>
      <c r="I585" s="65">
        <f t="shared" si="143"/>
        <v>622</v>
      </c>
      <c r="J585" s="65">
        <f t="shared" si="143"/>
        <v>501</v>
      </c>
      <c r="K585" s="65">
        <f t="shared" si="143"/>
        <v>405</v>
      </c>
      <c r="L585" s="65">
        <f t="shared" si="143"/>
        <v>328</v>
      </c>
      <c r="M585" s="65">
        <f t="shared" si="143"/>
        <v>309</v>
      </c>
      <c r="N585" s="65">
        <f t="shared" si="143"/>
        <v>882</v>
      </c>
      <c r="O585" s="65">
        <f t="shared" si="143"/>
        <v>2139</v>
      </c>
      <c r="P585" s="66">
        <f t="shared" si="143"/>
        <v>9709</v>
      </c>
    </row>
    <row r="586" spans="1:17" ht="12.75" hidden="1" customHeight="1" x14ac:dyDescent="0.25">
      <c r="A586"/>
      <c r="B586" s="67"/>
      <c r="C586" s="68" t="s">
        <v>79</v>
      </c>
      <c r="D586" s="79">
        <v>939</v>
      </c>
      <c r="E586" s="79">
        <v>843</v>
      </c>
      <c r="F586" s="69">
        <v>992</v>
      </c>
      <c r="G586" s="80">
        <v>913</v>
      </c>
      <c r="H586" s="69">
        <v>836</v>
      </c>
      <c r="I586" s="77">
        <v>622</v>
      </c>
      <c r="J586" s="77">
        <v>501</v>
      </c>
      <c r="K586" s="69">
        <v>405</v>
      </c>
      <c r="L586" s="69">
        <v>328</v>
      </c>
      <c r="M586" s="69">
        <v>309</v>
      </c>
      <c r="N586" s="69">
        <v>333</v>
      </c>
      <c r="O586" s="69">
        <v>230</v>
      </c>
      <c r="P586" s="150">
        <f>SUM(D586:O586)</f>
        <v>7251</v>
      </c>
      <c r="Q586"/>
    </row>
    <row r="587" spans="1:17" ht="12.75" hidden="1" customHeight="1" x14ac:dyDescent="0.25">
      <c r="A587"/>
      <c r="B587" s="71"/>
      <c r="C587" s="68" t="s">
        <v>80</v>
      </c>
      <c r="D587" s="79">
        <v>0</v>
      </c>
      <c r="E587" s="79">
        <v>0</v>
      </c>
      <c r="F587" s="79">
        <v>0</v>
      </c>
      <c r="G587" s="79">
        <v>0</v>
      </c>
      <c r="H587" s="79">
        <v>0</v>
      </c>
      <c r="I587" s="79">
        <v>0</v>
      </c>
      <c r="J587" s="79">
        <v>0</v>
      </c>
      <c r="K587" s="79">
        <v>0</v>
      </c>
      <c r="L587" s="79">
        <v>0</v>
      </c>
      <c r="M587" s="79">
        <v>0</v>
      </c>
      <c r="N587" s="152">
        <v>549</v>
      </c>
      <c r="O587" s="152">
        <v>1909</v>
      </c>
      <c r="P587" s="150">
        <f>SUM(D587:O587)</f>
        <v>2458</v>
      </c>
      <c r="Q587"/>
    </row>
    <row r="588" spans="1:17" ht="12.75" hidden="1" customHeight="1" x14ac:dyDescent="0.25">
      <c r="A588" s="11"/>
      <c r="B588" s="11"/>
      <c r="C588" s="1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1"/>
      <c r="Q588"/>
    </row>
    <row r="589" spans="1:17" ht="12.75" hidden="1" customHeight="1" thickBot="1" x14ac:dyDescent="0.3">
      <c r="A589"/>
      <c r="B589" s="13" t="s">
        <v>60</v>
      </c>
      <c r="C589" s="13"/>
      <c r="Q589"/>
    </row>
    <row r="590" spans="1:17" ht="12.75" hidden="1" customHeight="1" thickBot="1" x14ac:dyDescent="0.3">
      <c r="A590"/>
      <c r="B590" s="437" t="s">
        <v>1</v>
      </c>
      <c r="C590" s="438"/>
      <c r="D590" s="16">
        <v>1</v>
      </c>
      <c r="E590" s="17">
        <v>2</v>
      </c>
      <c r="F590" s="17">
        <v>3</v>
      </c>
      <c r="G590" s="17">
        <v>4</v>
      </c>
      <c r="H590" s="17">
        <v>5</v>
      </c>
      <c r="I590" s="17">
        <v>6</v>
      </c>
      <c r="J590" s="17">
        <v>7</v>
      </c>
      <c r="K590" s="17">
        <v>8</v>
      </c>
      <c r="L590" s="17">
        <v>9</v>
      </c>
      <c r="M590" s="17">
        <v>10</v>
      </c>
      <c r="N590" s="17">
        <v>11</v>
      </c>
      <c r="O590" s="17">
        <v>12</v>
      </c>
      <c r="P590" s="18" t="s">
        <v>0</v>
      </c>
      <c r="Q590"/>
    </row>
    <row r="591" spans="1:17" ht="12.75" hidden="1" customHeight="1" x14ac:dyDescent="0.25">
      <c r="A591"/>
      <c r="B591" s="432" t="s">
        <v>37</v>
      </c>
      <c r="C591" s="129" t="s">
        <v>17</v>
      </c>
      <c r="D591" s="28">
        <v>388</v>
      </c>
      <c r="E591" s="29">
        <v>255</v>
      </c>
      <c r="F591" s="28">
        <v>688</v>
      </c>
      <c r="G591" s="29">
        <v>548</v>
      </c>
      <c r="H591" s="29">
        <v>470</v>
      </c>
      <c r="I591" s="29">
        <v>657</v>
      </c>
      <c r="J591" s="29">
        <v>963</v>
      </c>
      <c r="K591" s="29">
        <v>740</v>
      </c>
      <c r="L591" s="29">
        <v>579</v>
      </c>
      <c r="M591" s="29">
        <v>544</v>
      </c>
      <c r="N591" s="29">
        <v>685</v>
      </c>
      <c r="O591" s="29">
        <v>979</v>
      </c>
      <c r="P591" s="30">
        <f t="shared" ref="P591:P599" si="144">SUM(D591:O591)</f>
        <v>7496</v>
      </c>
      <c r="Q591"/>
    </row>
    <row r="592" spans="1:17" ht="12.75" hidden="1" customHeight="1" x14ac:dyDescent="0.25">
      <c r="A592"/>
      <c r="B592" s="433"/>
      <c r="C592" s="130" t="s">
        <v>18</v>
      </c>
      <c r="D592" s="57">
        <v>5</v>
      </c>
      <c r="E592" s="58">
        <v>2</v>
      </c>
      <c r="F592" s="57">
        <v>20</v>
      </c>
      <c r="G592" s="58">
        <v>15</v>
      </c>
      <c r="H592" s="58">
        <v>19</v>
      </c>
      <c r="I592" s="58">
        <v>14</v>
      </c>
      <c r="J592" s="58">
        <v>12</v>
      </c>
      <c r="K592" s="58">
        <v>12</v>
      </c>
      <c r="L592" s="60">
        <v>15</v>
      </c>
      <c r="M592" s="58">
        <v>21</v>
      </c>
      <c r="N592" s="58">
        <v>41</v>
      </c>
      <c r="O592" s="58">
        <v>30</v>
      </c>
      <c r="P592" s="59">
        <f t="shared" si="144"/>
        <v>206</v>
      </c>
      <c r="Q592"/>
    </row>
    <row r="593" spans="1:17" ht="12.75" hidden="1" customHeight="1" x14ac:dyDescent="0.25">
      <c r="A593"/>
      <c r="B593" s="433"/>
      <c r="C593" s="130" t="s">
        <v>20</v>
      </c>
      <c r="D593" s="57">
        <v>5064</v>
      </c>
      <c r="E593" s="57">
        <v>7353</v>
      </c>
      <c r="F593" s="57">
        <v>7000</v>
      </c>
      <c r="G593" s="57">
        <v>8265</v>
      </c>
      <c r="H593" s="57">
        <v>7834</v>
      </c>
      <c r="I593" s="57">
        <v>6488</v>
      </c>
      <c r="J593" s="57">
        <v>7109</v>
      </c>
      <c r="K593" s="57">
        <v>7449</v>
      </c>
      <c r="L593" s="57">
        <v>7078</v>
      </c>
      <c r="M593" s="57">
        <v>6190</v>
      </c>
      <c r="N593" s="57">
        <v>7183</v>
      </c>
      <c r="O593" s="57">
        <v>6848</v>
      </c>
      <c r="P593" s="24">
        <f t="shared" si="144"/>
        <v>83861</v>
      </c>
      <c r="Q593"/>
    </row>
    <row r="594" spans="1:17" ht="12.75" hidden="1" customHeight="1" x14ac:dyDescent="0.25">
      <c r="A594"/>
      <c r="B594" s="433"/>
      <c r="C594" s="130" t="s">
        <v>46</v>
      </c>
      <c r="D594" s="57">
        <v>525</v>
      </c>
      <c r="E594" s="57">
        <v>545</v>
      </c>
      <c r="F594" s="57">
        <v>1116</v>
      </c>
      <c r="G594" s="57">
        <v>1055</v>
      </c>
      <c r="H594" s="57">
        <v>1009</v>
      </c>
      <c r="I594" s="57">
        <v>955</v>
      </c>
      <c r="J594" s="57">
        <v>1216</v>
      </c>
      <c r="K594" s="57">
        <v>1192</v>
      </c>
      <c r="L594" s="57">
        <v>1250</v>
      </c>
      <c r="M594" s="57">
        <v>989</v>
      </c>
      <c r="N594" s="57">
        <v>1385</v>
      </c>
      <c r="O594" s="57">
        <v>1162</v>
      </c>
      <c r="P594" s="21">
        <f t="shared" si="144"/>
        <v>12399</v>
      </c>
      <c r="Q594"/>
    </row>
    <row r="595" spans="1:17" ht="12.75" hidden="1" customHeight="1" x14ac:dyDescent="0.25">
      <c r="A595"/>
      <c r="B595" s="433"/>
      <c r="C595" s="131" t="s">
        <v>3</v>
      </c>
      <c r="D595" s="22">
        <v>84</v>
      </c>
      <c r="E595" s="23">
        <v>410</v>
      </c>
      <c r="F595" s="22">
        <v>620</v>
      </c>
      <c r="G595" s="23">
        <v>366</v>
      </c>
      <c r="H595" s="23">
        <v>361</v>
      </c>
      <c r="I595" s="23">
        <v>381</v>
      </c>
      <c r="J595" s="23">
        <v>520</v>
      </c>
      <c r="K595" s="23">
        <v>435</v>
      </c>
      <c r="L595" s="25">
        <v>429</v>
      </c>
      <c r="M595" s="23">
        <v>311</v>
      </c>
      <c r="N595" s="23">
        <v>430</v>
      </c>
      <c r="O595" s="23">
        <v>283</v>
      </c>
      <c r="P595" s="59">
        <f t="shared" si="144"/>
        <v>4630</v>
      </c>
      <c r="Q595"/>
    </row>
    <row r="596" spans="1:17" ht="12.75" hidden="1" customHeight="1" x14ac:dyDescent="0.25">
      <c r="A596"/>
      <c r="B596" s="433"/>
      <c r="C596" s="132" t="s">
        <v>21</v>
      </c>
      <c r="D596" s="56">
        <v>3997</v>
      </c>
      <c r="E596" s="56">
        <v>4440</v>
      </c>
      <c r="F596" s="56">
        <f>7240+338</f>
        <v>7578</v>
      </c>
      <c r="G596" s="56">
        <v>9127</v>
      </c>
      <c r="H596" s="56">
        <v>7597</v>
      </c>
      <c r="I596" s="56">
        <v>9298</v>
      </c>
      <c r="J596" s="56">
        <v>6685</v>
      </c>
      <c r="K596" s="56">
        <v>6424</v>
      </c>
      <c r="L596" s="56">
        <v>6424</v>
      </c>
      <c r="M596" s="56">
        <v>7355</v>
      </c>
      <c r="N596" s="56">
        <v>7459</v>
      </c>
      <c r="O596" s="56">
        <v>6319</v>
      </c>
      <c r="P596" s="59">
        <f t="shared" si="144"/>
        <v>82703</v>
      </c>
      <c r="Q596"/>
    </row>
    <row r="597" spans="1:17" ht="12.75" hidden="1" customHeight="1" x14ac:dyDescent="0.25">
      <c r="A597"/>
      <c r="B597" s="433"/>
      <c r="C597" s="132" t="s">
        <v>35</v>
      </c>
      <c r="D597" s="56">
        <v>8</v>
      </c>
      <c r="E597" s="56">
        <v>7</v>
      </c>
      <c r="F597" s="56">
        <v>12</v>
      </c>
      <c r="G597" s="56">
        <v>8</v>
      </c>
      <c r="H597" s="56">
        <v>53</v>
      </c>
      <c r="I597" s="56">
        <v>59</v>
      </c>
      <c r="J597" s="56">
        <v>35</v>
      </c>
      <c r="K597" s="56">
        <v>25</v>
      </c>
      <c r="L597" s="56">
        <v>26</v>
      </c>
      <c r="M597" s="56">
        <v>44</v>
      </c>
      <c r="N597" s="56">
        <v>21</v>
      </c>
      <c r="O597" s="56">
        <v>29</v>
      </c>
      <c r="P597" s="59">
        <f t="shared" si="144"/>
        <v>327</v>
      </c>
      <c r="Q597"/>
    </row>
    <row r="598" spans="1:17" ht="12.75" hidden="1" customHeight="1" x14ac:dyDescent="0.25">
      <c r="A598"/>
      <c r="B598" s="433"/>
      <c r="C598" s="132" t="s">
        <v>23</v>
      </c>
      <c r="D598" s="55">
        <v>10586</v>
      </c>
      <c r="E598" s="55">
        <v>10913</v>
      </c>
      <c r="F598" s="55">
        <f>8+44+13112+194</f>
        <v>13358</v>
      </c>
      <c r="G598" s="55">
        <v>12549</v>
      </c>
      <c r="H598" s="55">
        <v>12595</v>
      </c>
      <c r="I598" s="55">
        <v>12665</v>
      </c>
      <c r="J598" s="55">
        <v>12093</v>
      </c>
      <c r="K598" s="55">
        <v>8204</v>
      </c>
      <c r="L598" s="55">
        <v>11283</v>
      </c>
      <c r="M598" s="55">
        <v>8573</v>
      </c>
      <c r="N598" s="55">
        <v>10181</v>
      </c>
      <c r="O598" s="55">
        <v>9080</v>
      </c>
      <c r="P598" s="59">
        <f t="shared" si="144"/>
        <v>132080</v>
      </c>
      <c r="Q598"/>
    </row>
    <row r="599" spans="1:17" ht="12.75" hidden="1" customHeight="1" x14ac:dyDescent="0.25">
      <c r="A599"/>
      <c r="B599" s="433"/>
      <c r="C599" s="130" t="s">
        <v>41</v>
      </c>
      <c r="D599" s="94">
        <v>57</v>
      </c>
      <c r="E599" s="95">
        <v>25</v>
      </c>
      <c r="F599" s="95">
        <v>94</v>
      </c>
      <c r="G599" s="95">
        <v>48</v>
      </c>
      <c r="H599" s="95">
        <v>39</v>
      </c>
      <c r="I599" s="95">
        <v>39</v>
      </c>
      <c r="J599" s="95">
        <v>27</v>
      </c>
      <c r="K599" s="95">
        <v>22</v>
      </c>
      <c r="L599" s="95">
        <v>24</v>
      </c>
      <c r="M599" s="94">
        <v>24</v>
      </c>
      <c r="N599" s="94">
        <v>39</v>
      </c>
      <c r="O599" s="94">
        <v>52</v>
      </c>
      <c r="P599" s="59">
        <f t="shared" si="144"/>
        <v>490</v>
      </c>
      <c r="Q599"/>
    </row>
    <row r="600" spans="1:17" ht="12.75" hidden="1" customHeight="1" thickBot="1" x14ac:dyDescent="0.3">
      <c r="A600"/>
      <c r="B600" s="418"/>
      <c r="C600" s="133" t="s">
        <v>0</v>
      </c>
      <c r="D600" s="32">
        <f t="shared" ref="D600:P600" si="145">SUM(D591:D599)</f>
        <v>20714</v>
      </c>
      <c r="E600" s="32">
        <f t="shared" si="145"/>
        <v>23950</v>
      </c>
      <c r="F600" s="32">
        <f t="shared" si="145"/>
        <v>30486</v>
      </c>
      <c r="G600" s="32">
        <f t="shared" si="145"/>
        <v>31981</v>
      </c>
      <c r="H600" s="32">
        <f t="shared" si="145"/>
        <v>29977</v>
      </c>
      <c r="I600" s="32">
        <f t="shared" si="145"/>
        <v>30556</v>
      </c>
      <c r="J600" s="32">
        <f t="shared" si="145"/>
        <v>28660</v>
      </c>
      <c r="K600" s="32">
        <f t="shared" si="145"/>
        <v>24503</v>
      </c>
      <c r="L600" s="32">
        <f t="shared" si="145"/>
        <v>27108</v>
      </c>
      <c r="M600" s="32">
        <f t="shared" si="145"/>
        <v>24051</v>
      </c>
      <c r="N600" s="32">
        <f t="shared" si="145"/>
        <v>27424</v>
      </c>
      <c r="O600" s="32">
        <f t="shared" si="145"/>
        <v>24782</v>
      </c>
      <c r="P600" s="33">
        <f t="shared" si="145"/>
        <v>324192</v>
      </c>
      <c r="Q600"/>
    </row>
    <row r="601" spans="1:17" ht="12.75" hidden="1" customHeight="1" x14ac:dyDescent="0.25">
      <c r="A601"/>
      <c r="B601" s="427" t="s">
        <v>36</v>
      </c>
      <c r="C601" s="129" t="s">
        <v>64</v>
      </c>
      <c r="D601" s="28">
        <v>0</v>
      </c>
      <c r="E601" s="29">
        <v>0</v>
      </c>
      <c r="F601" s="29">
        <v>0</v>
      </c>
      <c r="G601" s="29">
        <v>0</v>
      </c>
      <c r="H601" s="29">
        <v>0</v>
      </c>
      <c r="I601" s="29">
        <v>0</v>
      </c>
      <c r="J601" s="29">
        <v>3145</v>
      </c>
      <c r="K601" s="29">
        <v>4230</v>
      </c>
      <c r="L601" s="29">
        <v>5386</v>
      </c>
      <c r="M601" s="29">
        <v>3819</v>
      </c>
      <c r="N601" s="29">
        <v>4324</v>
      </c>
      <c r="O601" s="29">
        <v>2618</v>
      </c>
      <c r="P601" s="30">
        <f>SUM(D601:O601)</f>
        <v>23522</v>
      </c>
      <c r="Q601"/>
    </row>
    <row r="602" spans="1:17" ht="12.75" hidden="1" customHeight="1" x14ac:dyDescent="0.25">
      <c r="A602"/>
      <c r="B602" s="427"/>
      <c r="C602" s="134" t="s">
        <v>43</v>
      </c>
      <c r="D602" s="19">
        <v>2791</v>
      </c>
      <c r="E602" s="20">
        <v>3156</v>
      </c>
      <c r="F602" s="20">
        <v>3640</v>
      </c>
      <c r="G602" s="20">
        <v>3401</v>
      </c>
      <c r="H602" s="20">
        <v>4422</v>
      </c>
      <c r="I602" s="20">
        <v>4290</v>
      </c>
      <c r="J602" s="20">
        <v>4120</v>
      </c>
      <c r="K602" s="20">
        <v>4136</v>
      </c>
      <c r="L602" s="20">
        <v>4519</v>
      </c>
      <c r="M602" s="20">
        <v>3444</v>
      </c>
      <c r="N602" s="20">
        <v>4609</v>
      </c>
      <c r="O602" s="20">
        <v>3888</v>
      </c>
      <c r="P602" s="21">
        <f>SUM(D602:O602)</f>
        <v>46416</v>
      </c>
      <c r="Q602"/>
    </row>
    <row r="603" spans="1:17" ht="12.75" hidden="1" customHeight="1" x14ac:dyDescent="0.25">
      <c r="A603"/>
      <c r="B603" s="427"/>
      <c r="C603" s="131" t="s">
        <v>5</v>
      </c>
      <c r="D603" s="22">
        <v>3185</v>
      </c>
      <c r="E603" s="23">
        <v>5997</v>
      </c>
      <c r="F603" s="23">
        <v>5459</v>
      </c>
      <c r="G603" s="23">
        <v>3888</v>
      </c>
      <c r="H603" s="23">
        <v>4431</v>
      </c>
      <c r="I603" s="23">
        <v>4443</v>
      </c>
      <c r="J603" s="23">
        <v>3675</v>
      </c>
      <c r="K603" s="23">
        <v>4439</v>
      </c>
      <c r="L603" s="23">
        <v>3619</v>
      </c>
      <c r="M603" s="23">
        <v>3861</v>
      </c>
      <c r="N603" s="23">
        <v>4522</v>
      </c>
      <c r="O603" s="23">
        <v>4142</v>
      </c>
      <c r="P603" s="59">
        <f>SUM(D603:O603)</f>
        <v>51661</v>
      </c>
      <c r="Q603"/>
    </row>
    <row r="604" spans="1:17" ht="12.75" hidden="1" customHeight="1" x14ac:dyDescent="0.25">
      <c r="A604"/>
      <c r="B604" s="427"/>
      <c r="C604" s="131" t="s">
        <v>38</v>
      </c>
      <c r="D604" s="22">
        <v>678</v>
      </c>
      <c r="E604" s="23">
        <v>760</v>
      </c>
      <c r="F604" s="23">
        <v>828</v>
      </c>
      <c r="G604" s="23">
        <v>639</v>
      </c>
      <c r="H604" s="23">
        <v>570</v>
      </c>
      <c r="I604" s="23">
        <v>709</v>
      </c>
      <c r="J604" s="23">
        <v>542</v>
      </c>
      <c r="K604" s="23">
        <v>530</v>
      </c>
      <c r="L604" s="23">
        <v>585</v>
      </c>
      <c r="M604" s="23">
        <v>468</v>
      </c>
      <c r="N604" s="23">
        <v>320</v>
      </c>
      <c r="O604" s="23">
        <v>383</v>
      </c>
      <c r="P604" s="24">
        <f>SUM(D604:O604)</f>
        <v>7012</v>
      </c>
      <c r="Q604"/>
    </row>
    <row r="605" spans="1:17" ht="12.75" hidden="1" customHeight="1" thickBot="1" x14ac:dyDescent="0.3">
      <c r="A605"/>
      <c r="B605" s="434"/>
      <c r="C605" s="135" t="s">
        <v>0</v>
      </c>
      <c r="D605" s="26">
        <f t="shared" ref="D605:P605" si="146">SUM(D601:D604)</f>
        <v>6654</v>
      </c>
      <c r="E605" s="26">
        <f t="shared" si="146"/>
        <v>9913</v>
      </c>
      <c r="F605" s="26">
        <f t="shared" si="146"/>
        <v>9927</v>
      </c>
      <c r="G605" s="26">
        <f t="shared" si="146"/>
        <v>7928</v>
      </c>
      <c r="H605" s="26">
        <f t="shared" si="146"/>
        <v>9423</v>
      </c>
      <c r="I605" s="26">
        <f t="shared" si="146"/>
        <v>9442</v>
      </c>
      <c r="J605" s="26">
        <f t="shared" si="146"/>
        <v>11482</v>
      </c>
      <c r="K605" s="26">
        <f t="shared" si="146"/>
        <v>13335</v>
      </c>
      <c r="L605" s="26">
        <f t="shared" si="146"/>
        <v>14109</v>
      </c>
      <c r="M605" s="26">
        <f t="shared" si="146"/>
        <v>11592</v>
      </c>
      <c r="N605" s="26">
        <f t="shared" si="146"/>
        <v>13775</v>
      </c>
      <c r="O605" s="26">
        <f t="shared" si="146"/>
        <v>11031</v>
      </c>
      <c r="P605" s="27">
        <f t="shared" si="146"/>
        <v>128611</v>
      </c>
      <c r="Q605"/>
    </row>
    <row r="606" spans="1:17" ht="12.75" hidden="1" customHeight="1" x14ac:dyDescent="0.25">
      <c r="A606"/>
      <c r="B606" s="416" t="s">
        <v>6</v>
      </c>
      <c r="C606" s="129" t="s">
        <v>8</v>
      </c>
      <c r="D606" s="28">
        <v>3396</v>
      </c>
      <c r="E606" s="29">
        <v>3841</v>
      </c>
      <c r="F606" s="29">
        <v>4823</v>
      </c>
      <c r="G606" s="29">
        <v>4323</v>
      </c>
      <c r="H606" s="29">
        <v>3824</v>
      </c>
      <c r="I606" s="29">
        <v>4230</v>
      </c>
      <c r="J606" s="29">
        <v>3674</v>
      </c>
      <c r="K606" s="29">
        <v>3376</v>
      </c>
      <c r="L606" s="29">
        <v>3945</v>
      </c>
      <c r="M606" s="29">
        <v>3119</v>
      </c>
      <c r="N606" s="29">
        <v>4296</v>
      </c>
      <c r="O606" s="29">
        <v>2929</v>
      </c>
      <c r="P606" s="30">
        <f>SUM(D606:O606)</f>
        <v>45776</v>
      </c>
      <c r="Q606"/>
    </row>
    <row r="607" spans="1:17" ht="12.75" hidden="1" customHeight="1" x14ac:dyDescent="0.25">
      <c r="A607"/>
      <c r="B607" s="417"/>
      <c r="C607" s="134" t="s">
        <v>9</v>
      </c>
      <c r="D607" s="19">
        <v>7860</v>
      </c>
      <c r="E607" s="20">
        <v>7691</v>
      </c>
      <c r="F607" s="20">
        <v>9790</v>
      </c>
      <c r="G607" s="20">
        <v>8809</v>
      </c>
      <c r="H607" s="20">
        <v>10012</v>
      </c>
      <c r="I607" s="20">
        <v>10064</v>
      </c>
      <c r="J607" s="20">
        <v>8690</v>
      </c>
      <c r="K607" s="20">
        <v>6550</v>
      </c>
      <c r="L607" s="20">
        <v>7458</v>
      </c>
      <c r="M607" s="20">
        <v>7746</v>
      </c>
      <c r="N607" s="20">
        <v>9601</v>
      </c>
      <c r="O607" s="20">
        <v>7152</v>
      </c>
      <c r="P607" s="21">
        <f>SUM(D607:O607)</f>
        <v>101423</v>
      </c>
      <c r="Q607"/>
    </row>
    <row r="608" spans="1:17" ht="12.75" hidden="1" customHeight="1" thickBot="1" x14ac:dyDescent="0.3">
      <c r="A608"/>
      <c r="B608" s="418"/>
      <c r="C608" s="133" t="s">
        <v>0</v>
      </c>
      <c r="D608" s="32">
        <f t="shared" ref="D608:L608" si="147">SUM(D606:D607)</f>
        <v>11256</v>
      </c>
      <c r="E608" s="32">
        <f t="shared" si="147"/>
        <v>11532</v>
      </c>
      <c r="F608" s="32">
        <f t="shared" si="147"/>
        <v>14613</v>
      </c>
      <c r="G608" s="32">
        <f t="shared" si="147"/>
        <v>13132</v>
      </c>
      <c r="H608" s="32">
        <f t="shared" si="147"/>
        <v>13836</v>
      </c>
      <c r="I608" s="32">
        <f t="shared" si="147"/>
        <v>14294</v>
      </c>
      <c r="J608" s="32">
        <f t="shared" si="147"/>
        <v>12364</v>
      </c>
      <c r="K608" s="32">
        <f t="shared" si="147"/>
        <v>9926</v>
      </c>
      <c r="L608" s="32">
        <f t="shared" si="147"/>
        <v>11403</v>
      </c>
      <c r="M608" s="32">
        <f>SUM(M606:M607)</f>
        <v>10865</v>
      </c>
      <c r="N608" s="32">
        <f>SUM(N606:N607)</f>
        <v>13897</v>
      </c>
      <c r="O608" s="32">
        <f>SUM(O606:O607)</f>
        <v>10081</v>
      </c>
      <c r="P608" s="33">
        <f>SUM(P606:P607)</f>
        <v>147199</v>
      </c>
      <c r="Q608"/>
    </row>
    <row r="609" spans="1:17" ht="12.75" hidden="1" customHeight="1" x14ac:dyDescent="0.25">
      <c r="A609"/>
      <c r="B609" s="416" t="s">
        <v>7</v>
      </c>
      <c r="C609" s="129" t="s">
        <v>10</v>
      </c>
      <c r="D609" s="28">
        <v>592</v>
      </c>
      <c r="E609" s="29">
        <v>898</v>
      </c>
      <c r="F609" s="29">
        <v>884</v>
      </c>
      <c r="G609" s="29">
        <v>821</v>
      </c>
      <c r="H609" s="29">
        <v>734</v>
      </c>
      <c r="I609" s="29">
        <v>777</v>
      </c>
      <c r="J609" s="29">
        <v>759</v>
      </c>
      <c r="K609" s="29">
        <v>614</v>
      </c>
      <c r="L609" s="29">
        <v>744</v>
      </c>
      <c r="M609" s="29">
        <v>645</v>
      </c>
      <c r="N609" s="29">
        <v>747</v>
      </c>
      <c r="O609" s="29">
        <v>591</v>
      </c>
      <c r="P609" s="30">
        <f>SUM(D609:O609)</f>
        <v>8806</v>
      </c>
      <c r="Q609"/>
    </row>
    <row r="610" spans="1:17" ht="12.75" hidden="1" customHeight="1" x14ac:dyDescent="0.25">
      <c r="A610"/>
      <c r="B610" s="417"/>
      <c r="C610" s="134" t="s">
        <v>11</v>
      </c>
      <c r="D610" s="19">
        <v>1689</v>
      </c>
      <c r="E610" s="20">
        <v>2032</v>
      </c>
      <c r="F610" s="20">
        <v>2413</v>
      </c>
      <c r="G610" s="20">
        <v>2259</v>
      </c>
      <c r="H610" s="20">
        <v>2217</v>
      </c>
      <c r="I610" s="20">
        <v>2140</v>
      </c>
      <c r="J610" s="20">
        <v>2095</v>
      </c>
      <c r="K610" s="20">
        <v>1897</v>
      </c>
      <c r="L610" s="20">
        <v>2056</v>
      </c>
      <c r="M610" s="20">
        <v>1596</v>
      </c>
      <c r="N610" s="20">
        <v>1765</v>
      </c>
      <c r="O610" s="20">
        <v>1356</v>
      </c>
      <c r="P610" s="21">
        <f>SUM(D610:O610)</f>
        <v>23515</v>
      </c>
      <c r="Q610"/>
    </row>
    <row r="611" spans="1:17" ht="12.75" hidden="1" customHeight="1" thickBot="1" x14ac:dyDescent="0.3">
      <c r="A611"/>
      <c r="B611" s="418"/>
      <c r="C611" s="133" t="s">
        <v>0</v>
      </c>
      <c r="D611" s="32">
        <f t="shared" ref="D611:I611" si="148">SUM(D609:D610)</f>
        <v>2281</v>
      </c>
      <c r="E611" s="32">
        <f t="shared" si="148"/>
        <v>2930</v>
      </c>
      <c r="F611" s="32">
        <f t="shared" si="148"/>
        <v>3297</v>
      </c>
      <c r="G611" s="32">
        <f t="shared" si="148"/>
        <v>3080</v>
      </c>
      <c r="H611" s="32">
        <f t="shared" si="148"/>
        <v>2951</v>
      </c>
      <c r="I611" s="32">
        <f t="shared" si="148"/>
        <v>2917</v>
      </c>
      <c r="J611" s="32">
        <f t="shared" ref="J611:P611" si="149">SUM(J609:J610)</f>
        <v>2854</v>
      </c>
      <c r="K611" s="32">
        <f t="shared" si="149"/>
        <v>2511</v>
      </c>
      <c r="L611" s="32">
        <f t="shared" si="149"/>
        <v>2800</v>
      </c>
      <c r="M611" s="32">
        <f t="shared" si="149"/>
        <v>2241</v>
      </c>
      <c r="N611" s="32">
        <f t="shared" si="149"/>
        <v>2512</v>
      </c>
      <c r="O611" s="32">
        <f t="shared" si="149"/>
        <v>1947</v>
      </c>
      <c r="P611" s="33">
        <f t="shared" si="149"/>
        <v>32321</v>
      </c>
      <c r="Q611"/>
    </row>
    <row r="612" spans="1:17" ht="4.5" hidden="1" customHeight="1" x14ac:dyDescent="0.25">
      <c r="A612"/>
      <c r="B612" s="429" t="s">
        <v>4</v>
      </c>
      <c r="C612" s="129" t="s">
        <v>66</v>
      </c>
      <c r="D612" s="110">
        <v>0</v>
      </c>
      <c r="E612" s="110">
        <v>0</v>
      </c>
      <c r="F612" s="110">
        <v>0</v>
      </c>
      <c r="G612" s="110">
        <v>0</v>
      </c>
      <c r="H612" s="110">
        <v>0</v>
      </c>
      <c r="I612" s="110">
        <v>0</v>
      </c>
      <c r="J612" s="110">
        <v>0</v>
      </c>
      <c r="K612" s="110">
        <v>0</v>
      </c>
      <c r="L612" s="110">
        <v>386</v>
      </c>
      <c r="M612" s="110">
        <v>958</v>
      </c>
      <c r="N612" s="110">
        <v>1591</v>
      </c>
      <c r="O612" s="110">
        <v>1619</v>
      </c>
      <c r="P612" s="111">
        <f>SUM(D612:O612)</f>
        <v>4554</v>
      </c>
      <c r="Q612"/>
    </row>
    <row r="613" spans="1:17" hidden="1" x14ac:dyDescent="0.25">
      <c r="A613"/>
      <c r="B613" s="430"/>
      <c r="C613" s="136" t="s">
        <v>67</v>
      </c>
      <c r="D613" s="99">
        <v>3569</v>
      </c>
      <c r="E613" s="99">
        <v>3578</v>
      </c>
      <c r="F613" s="99">
        <v>4048</v>
      </c>
      <c r="G613" s="99">
        <v>3307</v>
      </c>
      <c r="H613" s="99">
        <v>3051</v>
      </c>
      <c r="I613" s="99">
        <v>3425</v>
      </c>
      <c r="J613" s="99">
        <v>3248</v>
      </c>
      <c r="K613" s="99">
        <v>3298</v>
      </c>
      <c r="L613" s="99">
        <v>2857</v>
      </c>
      <c r="M613" s="99">
        <v>2531</v>
      </c>
      <c r="N613" s="99">
        <v>3758</v>
      </c>
      <c r="O613" s="99">
        <v>3092</v>
      </c>
      <c r="P613" s="100">
        <f>SUM(D613:O613)</f>
        <v>39762</v>
      </c>
    </row>
    <row r="614" spans="1:17" ht="9.75" hidden="1" customHeight="1" x14ac:dyDescent="0.25">
      <c r="A614"/>
      <c r="B614" s="430"/>
      <c r="C614" s="131" t="s">
        <v>45</v>
      </c>
      <c r="D614" s="22">
        <v>626</v>
      </c>
      <c r="E614" s="23">
        <v>1210</v>
      </c>
      <c r="F614" s="23">
        <v>1394</v>
      </c>
      <c r="G614" s="23">
        <v>933</v>
      </c>
      <c r="H614" s="23">
        <v>1369</v>
      </c>
      <c r="I614" s="23">
        <v>1203</v>
      </c>
      <c r="J614" s="23">
        <v>1006</v>
      </c>
      <c r="K614" s="23">
        <v>987</v>
      </c>
      <c r="L614" s="23">
        <v>1051</v>
      </c>
      <c r="M614" s="23">
        <v>774</v>
      </c>
      <c r="N614" s="23">
        <v>938</v>
      </c>
      <c r="O614" s="23">
        <v>809</v>
      </c>
      <c r="P614" s="24">
        <f>SUM(D614:O614)</f>
        <v>12300</v>
      </c>
    </row>
    <row r="615" spans="1:17" ht="9.75" hidden="1" customHeight="1" thickBot="1" x14ac:dyDescent="0.3">
      <c r="A615"/>
      <c r="B615" s="431"/>
      <c r="C615" s="31" t="s">
        <v>0</v>
      </c>
      <c r="D615" s="32">
        <f>SUM(D612:D614)</f>
        <v>4195</v>
      </c>
      <c r="E615" s="32">
        <f t="shared" ref="E615:P615" si="150">SUM(E612:E614)</f>
        <v>4788</v>
      </c>
      <c r="F615" s="32">
        <f t="shared" si="150"/>
        <v>5442</v>
      </c>
      <c r="G615" s="32">
        <f t="shared" si="150"/>
        <v>4240</v>
      </c>
      <c r="H615" s="32">
        <f t="shared" si="150"/>
        <v>4420</v>
      </c>
      <c r="I615" s="32">
        <f t="shared" si="150"/>
        <v>4628</v>
      </c>
      <c r="J615" s="32">
        <f t="shared" si="150"/>
        <v>4254</v>
      </c>
      <c r="K615" s="32">
        <f t="shared" si="150"/>
        <v>4285</v>
      </c>
      <c r="L615" s="32">
        <f t="shared" si="150"/>
        <v>4294</v>
      </c>
      <c r="M615" s="32">
        <f t="shared" si="150"/>
        <v>4263</v>
      </c>
      <c r="N615" s="32">
        <f t="shared" si="150"/>
        <v>6287</v>
      </c>
      <c r="O615" s="32">
        <f t="shared" si="150"/>
        <v>5520</v>
      </c>
      <c r="P615" s="32">
        <f t="shared" si="150"/>
        <v>56616</v>
      </c>
    </row>
    <row r="616" spans="1:17" ht="9.9" hidden="1" customHeight="1" thickBot="1" x14ac:dyDescent="0.3">
      <c r="A616"/>
      <c r="B616" s="435" t="s">
        <v>2</v>
      </c>
      <c r="C616" s="436"/>
      <c r="D616" s="34">
        <f t="shared" ref="D616:O616" si="151">D600+D605+D611+D608+D615</f>
        <v>45100</v>
      </c>
      <c r="E616" s="34">
        <f t="shared" si="151"/>
        <v>53113</v>
      </c>
      <c r="F616" s="34">
        <f t="shared" si="151"/>
        <v>63765</v>
      </c>
      <c r="G616" s="34">
        <f t="shared" si="151"/>
        <v>60361</v>
      </c>
      <c r="H616" s="34">
        <f t="shared" si="151"/>
        <v>60607</v>
      </c>
      <c r="I616" s="34">
        <f t="shared" si="151"/>
        <v>61837</v>
      </c>
      <c r="J616" s="34">
        <f t="shared" si="151"/>
        <v>59614</v>
      </c>
      <c r="K616" s="34">
        <f t="shared" si="151"/>
        <v>54560</v>
      </c>
      <c r="L616" s="34">
        <f t="shared" si="151"/>
        <v>59714</v>
      </c>
      <c r="M616" s="34">
        <f t="shared" si="151"/>
        <v>53012</v>
      </c>
      <c r="N616" s="34">
        <f t="shared" si="151"/>
        <v>63895</v>
      </c>
      <c r="O616" s="34">
        <f t="shared" si="151"/>
        <v>53361</v>
      </c>
      <c r="P616" s="34">
        <f>SUM(P600,P605,P615,P608,P611)</f>
        <v>688939</v>
      </c>
    </row>
    <row r="617" spans="1:17" ht="9.9" hidden="1" customHeight="1" x14ac:dyDescent="0.25">
      <c r="A617"/>
      <c r="J617" s="92"/>
    </row>
    <row r="618" spans="1:17" ht="4.5" hidden="1" customHeight="1" x14ac:dyDescent="0.25">
      <c r="A618"/>
      <c r="B618" s="63" t="s">
        <v>23</v>
      </c>
      <c r="C618" s="64"/>
      <c r="D618" s="65">
        <f t="shared" ref="D618:P618" si="152">SUM(D619:D622)</f>
        <v>10586</v>
      </c>
      <c r="E618" s="65">
        <f t="shared" si="152"/>
        <v>10913</v>
      </c>
      <c r="F618" s="65">
        <f t="shared" si="152"/>
        <v>13358</v>
      </c>
      <c r="G618" s="65">
        <f t="shared" si="152"/>
        <v>12549</v>
      </c>
      <c r="H618" s="65">
        <f t="shared" si="152"/>
        <v>12595</v>
      </c>
      <c r="I618" s="65">
        <f t="shared" si="152"/>
        <v>12665</v>
      </c>
      <c r="J618" s="65">
        <f t="shared" si="152"/>
        <v>12093</v>
      </c>
      <c r="K618" s="65">
        <f t="shared" si="152"/>
        <v>8204</v>
      </c>
      <c r="L618" s="65">
        <f t="shared" si="152"/>
        <v>11283</v>
      </c>
      <c r="M618" s="65">
        <f t="shared" si="152"/>
        <v>8573</v>
      </c>
      <c r="N618" s="65">
        <f t="shared" si="152"/>
        <v>10181</v>
      </c>
      <c r="O618" s="65">
        <f t="shared" si="152"/>
        <v>9080</v>
      </c>
      <c r="P618" s="65">
        <f t="shared" si="152"/>
        <v>132080</v>
      </c>
      <c r="Q618"/>
    </row>
    <row r="619" spans="1:17" hidden="1" x14ac:dyDescent="0.25">
      <c r="A619"/>
      <c r="B619" s="67"/>
      <c r="C619" s="102" t="s">
        <v>56</v>
      </c>
      <c r="D619" s="103">
        <v>9414</v>
      </c>
      <c r="E619" s="103">
        <v>9990</v>
      </c>
      <c r="F619" s="104">
        <v>13112</v>
      </c>
      <c r="G619" s="105">
        <v>11503</v>
      </c>
      <c r="H619" s="104">
        <v>10750</v>
      </c>
      <c r="I619" s="106">
        <v>10194</v>
      </c>
      <c r="J619" s="106">
        <v>9916</v>
      </c>
      <c r="K619" s="104">
        <v>6609</v>
      </c>
      <c r="L619" s="104">
        <v>8949</v>
      </c>
      <c r="M619" s="104">
        <v>6346</v>
      </c>
      <c r="N619" s="104">
        <v>7879</v>
      </c>
      <c r="O619" s="104">
        <v>7194</v>
      </c>
      <c r="P619" s="107">
        <f>SUM(D619:O619)</f>
        <v>111856</v>
      </c>
    </row>
    <row r="620" spans="1:17" ht="9.9" hidden="1" customHeight="1" x14ac:dyDescent="0.25">
      <c r="A620"/>
      <c r="B620" s="67"/>
      <c r="C620" s="108" t="s">
        <v>62</v>
      </c>
      <c r="D620" s="79">
        <v>0</v>
      </c>
      <c r="E620" s="79">
        <v>0</v>
      </c>
      <c r="F620" s="69">
        <v>194</v>
      </c>
      <c r="G620" s="80">
        <v>1045</v>
      </c>
      <c r="H620" s="69">
        <v>1845</v>
      </c>
      <c r="I620" s="77">
        <v>2471</v>
      </c>
      <c r="J620" s="78">
        <v>2177</v>
      </c>
      <c r="K620" s="72">
        <v>1595</v>
      </c>
      <c r="L620" s="72">
        <v>2334</v>
      </c>
      <c r="M620" s="72">
        <v>2227</v>
      </c>
      <c r="N620" s="72">
        <v>2302</v>
      </c>
      <c r="O620" s="72">
        <v>1886</v>
      </c>
      <c r="P620" s="70">
        <f>SUM(D620:O620)</f>
        <v>18076</v>
      </c>
    </row>
    <row r="621" spans="1:17" ht="9.9" hidden="1" customHeight="1" x14ac:dyDescent="0.25">
      <c r="A621"/>
      <c r="B621" s="67"/>
      <c r="C621" s="68" t="s">
        <v>39</v>
      </c>
      <c r="D621" s="79">
        <v>961</v>
      </c>
      <c r="E621" s="79">
        <v>764</v>
      </c>
      <c r="F621" s="69">
        <v>8</v>
      </c>
      <c r="G621" s="80">
        <v>0</v>
      </c>
      <c r="H621" s="69">
        <v>0</v>
      </c>
      <c r="I621" s="77">
        <v>0</v>
      </c>
      <c r="J621" s="77"/>
      <c r="K621" s="69">
        <v>0</v>
      </c>
      <c r="L621" s="69">
        <v>0</v>
      </c>
      <c r="M621" s="69"/>
      <c r="N621" s="69"/>
      <c r="O621" s="69">
        <v>0</v>
      </c>
      <c r="P621" s="70">
        <f>SUM(D621:O621)</f>
        <v>1733</v>
      </c>
    </row>
    <row r="622" spans="1:17" ht="9.9" hidden="1" customHeight="1" x14ac:dyDescent="0.25">
      <c r="A622"/>
      <c r="B622" s="71"/>
      <c r="C622" s="108" t="s">
        <v>61</v>
      </c>
      <c r="D622" s="79">
        <v>211</v>
      </c>
      <c r="E622" s="79">
        <v>159</v>
      </c>
      <c r="F622" s="69">
        <v>44</v>
      </c>
      <c r="G622" s="80">
        <v>1</v>
      </c>
      <c r="H622" s="69">
        <v>0</v>
      </c>
      <c r="I622" s="77">
        <v>0</v>
      </c>
      <c r="J622" s="77"/>
      <c r="K622" s="69">
        <v>0</v>
      </c>
      <c r="L622" s="69">
        <v>0</v>
      </c>
      <c r="M622" s="69"/>
      <c r="N622" s="69"/>
      <c r="O622" s="69">
        <v>0</v>
      </c>
      <c r="P622" s="70">
        <f>SUM(D622:O622)</f>
        <v>415</v>
      </c>
    </row>
    <row r="623" spans="1:17" ht="6" hidden="1" customHeight="1" x14ac:dyDescent="0.25">
      <c r="A623"/>
      <c r="J623" s="92"/>
    </row>
    <row r="624" spans="1:17" hidden="1" x14ac:dyDescent="0.25">
      <c r="A624"/>
      <c r="B624" s="73" t="s">
        <v>21</v>
      </c>
      <c r="C624" s="74"/>
      <c r="D624" s="65">
        <f t="shared" ref="D624:P624" si="153">SUM(D625:D627)</f>
        <v>3997</v>
      </c>
      <c r="E624" s="65">
        <f t="shared" si="153"/>
        <v>4440</v>
      </c>
      <c r="F624" s="65">
        <f t="shared" si="153"/>
        <v>7578</v>
      </c>
      <c r="G624" s="65">
        <f t="shared" si="153"/>
        <v>9127</v>
      </c>
      <c r="H624" s="65">
        <f t="shared" si="153"/>
        <v>7597</v>
      </c>
      <c r="I624" s="65">
        <f t="shared" si="153"/>
        <v>9298</v>
      </c>
      <c r="J624" s="65">
        <f t="shared" si="153"/>
        <v>6685</v>
      </c>
      <c r="K624" s="65">
        <f t="shared" si="153"/>
        <v>6424</v>
      </c>
      <c r="L624" s="65">
        <f t="shared" si="153"/>
        <v>6424</v>
      </c>
      <c r="M624" s="65">
        <f t="shared" si="153"/>
        <v>7355</v>
      </c>
      <c r="N624" s="65">
        <f t="shared" si="153"/>
        <v>7459</v>
      </c>
      <c r="O624" s="65">
        <f t="shared" si="153"/>
        <v>6319</v>
      </c>
      <c r="P624" s="65">
        <f t="shared" si="153"/>
        <v>82703</v>
      </c>
    </row>
    <row r="625" spans="1:17" ht="9.9" hidden="1" customHeight="1" x14ac:dyDescent="0.25">
      <c r="A625"/>
      <c r="B625" s="67"/>
      <c r="C625" s="68" t="s">
        <v>22</v>
      </c>
      <c r="D625" s="69">
        <v>0</v>
      </c>
      <c r="E625" s="69">
        <v>0</v>
      </c>
      <c r="F625" s="69">
        <v>0</v>
      </c>
      <c r="G625" s="69">
        <v>0</v>
      </c>
      <c r="H625" s="69">
        <v>0</v>
      </c>
      <c r="I625" s="69"/>
      <c r="J625" s="69"/>
      <c r="K625" s="69"/>
      <c r="L625" s="69"/>
      <c r="M625" s="69"/>
      <c r="N625" s="69"/>
      <c r="O625" s="69"/>
      <c r="P625" s="70">
        <f>SUM(D625:O625)</f>
        <v>0</v>
      </c>
    </row>
    <row r="626" spans="1:17" ht="9.9" hidden="1" customHeight="1" x14ac:dyDescent="0.25">
      <c r="A626"/>
      <c r="B626" s="67"/>
      <c r="C626" s="68" t="s">
        <v>40</v>
      </c>
      <c r="D626" s="93">
        <v>3769</v>
      </c>
      <c r="E626" s="93">
        <v>4104</v>
      </c>
      <c r="F626" s="93">
        <v>7240</v>
      </c>
      <c r="G626" s="69">
        <v>8748</v>
      </c>
      <c r="H626" s="69">
        <v>7227</v>
      </c>
      <c r="I626" s="69">
        <v>8566</v>
      </c>
      <c r="J626" s="69">
        <v>6072</v>
      </c>
      <c r="K626" s="69">
        <v>5971</v>
      </c>
      <c r="L626" s="69">
        <v>5980</v>
      </c>
      <c r="M626" s="69">
        <v>7039</v>
      </c>
      <c r="N626" s="69">
        <v>6807</v>
      </c>
      <c r="O626" s="69">
        <v>5708</v>
      </c>
      <c r="P626" s="70">
        <f>SUM(D626:O626)</f>
        <v>77231</v>
      </c>
    </row>
    <row r="627" spans="1:17" s="11" customFormat="1" ht="12" hidden="1" customHeight="1" x14ac:dyDescent="0.25">
      <c r="A627"/>
      <c r="B627" s="71"/>
      <c r="C627" s="96" t="s">
        <v>42</v>
      </c>
      <c r="D627" s="93">
        <v>228</v>
      </c>
      <c r="E627" s="93">
        <v>336</v>
      </c>
      <c r="F627" s="93">
        <v>338</v>
      </c>
      <c r="G627" s="93">
        <v>379</v>
      </c>
      <c r="H627" s="93">
        <v>370</v>
      </c>
      <c r="I627" s="93">
        <v>732</v>
      </c>
      <c r="J627" s="93">
        <v>613</v>
      </c>
      <c r="K627" s="93">
        <v>453</v>
      </c>
      <c r="L627" s="93">
        <v>444</v>
      </c>
      <c r="M627" s="93">
        <v>316</v>
      </c>
      <c r="N627" s="93">
        <v>652</v>
      </c>
      <c r="O627" s="72">
        <v>611</v>
      </c>
      <c r="P627" s="70">
        <f>SUM(D627:O627)</f>
        <v>5472</v>
      </c>
      <c r="Q627" s="90"/>
    </row>
    <row r="628" spans="1:17" ht="14.25" hidden="1" customHeight="1" x14ac:dyDescent="0.25">
      <c r="A628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6"/>
    </row>
    <row r="629" spans="1:17" ht="12.75" hidden="1" customHeight="1" x14ac:dyDescent="0.25">
      <c r="A629"/>
      <c r="B629" s="63" t="s">
        <v>46</v>
      </c>
      <c r="C629" s="64"/>
      <c r="D629" s="65">
        <f t="shared" ref="D629:P629" si="154">SUM(D630:D631)</f>
        <v>525</v>
      </c>
      <c r="E629" s="65">
        <f t="shared" si="154"/>
        <v>545</v>
      </c>
      <c r="F629" s="65">
        <f t="shared" si="154"/>
        <v>1116</v>
      </c>
      <c r="G629" s="65">
        <f t="shared" si="154"/>
        <v>1055</v>
      </c>
      <c r="H629" s="65">
        <f t="shared" si="154"/>
        <v>1009</v>
      </c>
      <c r="I629" s="65">
        <f t="shared" si="154"/>
        <v>955</v>
      </c>
      <c r="J629" s="65">
        <f t="shared" si="154"/>
        <v>1216</v>
      </c>
      <c r="K629" s="65">
        <f t="shared" si="154"/>
        <v>1192</v>
      </c>
      <c r="L629" s="65">
        <f t="shared" si="154"/>
        <v>1250</v>
      </c>
      <c r="M629" s="65">
        <f t="shared" si="154"/>
        <v>989</v>
      </c>
      <c r="N629" s="65">
        <f t="shared" si="154"/>
        <v>1385</v>
      </c>
      <c r="O629" s="65">
        <f t="shared" si="154"/>
        <v>1162</v>
      </c>
      <c r="P629" s="66">
        <f t="shared" si="154"/>
        <v>12399</v>
      </c>
    </row>
    <row r="630" spans="1:17" ht="12.75" hidden="1" customHeight="1" x14ac:dyDescent="0.25">
      <c r="A630"/>
      <c r="B630" s="67"/>
      <c r="C630" s="68" t="s">
        <v>51</v>
      </c>
      <c r="D630" s="79">
        <v>255</v>
      </c>
      <c r="E630" s="79">
        <v>304</v>
      </c>
      <c r="F630" s="69">
        <v>732</v>
      </c>
      <c r="G630" s="80">
        <v>607</v>
      </c>
      <c r="H630" s="69">
        <v>517</v>
      </c>
      <c r="I630" s="77">
        <v>524</v>
      </c>
      <c r="J630" s="77">
        <v>810</v>
      </c>
      <c r="K630" s="69">
        <v>959</v>
      </c>
      <c r="L630" s="69">
        <v>846</v>
      </c>
      <c r="M630" s="69">
        <v>649</v>
      </c>
      <c r="N630" s="69">
        <v>961</v>
      </c>
      <c r="O630" s="69">
        <v>768</v>
      </c>
      <c r="P630" s="70">
        <f>SUM(D630:O630)</f>
        <v>7932</v>
      </c>
      <c r="Q630"/>
    </row>
    <row r="631" spans="1:17" ht="12.75" hidden="1" customHeight="1" x14ac:dyDescent="0.25">
      <c r="A631"/>
      <c r="B631" s="71"/>
      <c r="C631" s="68" t="s">
        <v>19</v>
      </c>
      <c r="D631" s="79">
        <v>270</v>
      </c>
      <c r="E631" s="79">
        <v>241</v>
      </c>
      <c r="F631" s="69">
        <v>384</v>
      </c>
      <c r="G631" s="80">
        <v>448</v>
      </c>
      <c r="H631" s="69">
        <v>492</v>
      </c>
      <c r="I631" s="77">
        <v>431</v>
      </c>
      <c r="J631" s="78">
        <v>406</v>
      </c>
      <c r="K631" s="72">
        <v>233</v>
      </c>
      <c r="L631" s="72">
        <v>404</v>
      </c>
      <c r="M631" s="72">
        <v>340</v>
      </c>
      <c r="N631" s="72">
        <v>424</v>
      </c>
      <c r="O631" s="72">
        <v>394</v>
      </c>
      <c r="P631" s="70">
        <f>SUM(D631:O631)</f>
        <v>4467</v>
      </c>
      <c r="Q631"/>
    </row>
    <row r="632" spans="1:17" ht="12.75" hidden="1" customHeight="1" x14ac:dyDescent="0.25">
      <c r="A632" s="11"/>
      <c r="B632" s="11"/>
      <c r="C632" s="1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1"/>
      <c r="Q632"/>
    </row>
    <row r="633" spans="1:17" hidden="1" x14ac:dyDescent="0.25"/>
  </sheetData>
  <mergeCells count="63">
    <mergeCell ref="B285:B291"/>
    <mergeCell ref="B260:C260"/>
    <mergeCell ref="B261:B268"/>
    <mergeCell ref="B269:B277"/>
    <mergeCell ref="B278:B281"/>
    <mergeCell ref="B282:B284"/>
    <mergeCell ref="B552:B554"/>
    <mergeCell ref="B292:C292"/>
    <mergeCell ref="B361:B367"/>
    <mergeCell ref="B368:C368"/>
    <mergeCell ref="B504:C504"/>
    <mergeCell ref="B477:C477"/>
    <mergeCell ref="B478:B486"/>
    <mergeCell ref="B487:B493"/>
    <mergeCell ref="B494:B496"/>
    <mergeCell ref="B497:B499"/>
    <mergeCell ref="B500:B503"/>
    <mergeCell ref="B437:C437"/>
    <mergeCell ref="B408:C408"/>
    <mergeCell ref="B534:C534"/>
    <mergeCell ref="B535:B544"/>
    <mergeCell ref="B545:B551"/>
    <mergeCell ref="B555:B557"/>
    <mergeCell ref="B558:B561"/>
    <mergeCell ref="B616:C616"/>
    <mergeCell ref="B590:C590"/>
    <mergeCell ref="B591:B600"/>
    <mergeCell ref="B601:B605"/>
    <mergeCell ref="B606:B608"/>
    <mergeCell ref="B609:B611"/>
    <mergeCell ref="B612:B615"/>
    <mergeCell ref="B562:C562"/>
    <mergeCell ref="B409:B417"/>
    <mergeCell ref="B418:B424"/>
    <mergeCell ref="B425:B427"/>
    <mergeCell ref="B428:B430"/>
    <mergeCell ref="B431:B436"/>
    <mergeCell ref="B337:C337"/>
    <mergeCell ref="B338:B344"/>
    <mergeCell ref="B345:B353"/>
    <mergeCell ref="B354:B357"/>
    <mergeCell ref="B358:B360"/>
    <mergeCell ref="B178:C178"/>
    <mergeCell ref="B194:B196"/>
    <mergeCell ref="B197:B199"/>
    <mergeCell ref="B200:B206"/>
    <mergeCell ref="B207:C207"/>
    <mergeCell ref="B179:B184"/>
    <mergeCell ref="B185:B193"/>
    <mergeCell ref="B122:C122"/>
    <mergeCell ref="B93:C93"/>
    <mergeCell ref="B94:B98"/>
    <mergeCell ref="B99:B107"/>
    <mergeCell ref="B108:B111"/>
    <mergeCell ref="B112:B114"/>
    <mergeCell ref="B115:B121"/>
    <mergeCell ref="B27:B33"/>
    <mergeCell ref="B34:C34"/>
    <mergeCell ref="B4:C4"/>
    <mergeCell ref="B5:B9"/>
    <mergeCell ref="B10:B19"/>
    <mergeCell ref="B20:B23"/>
    <mergeCell ref="B24:B26"/>
  </mergeCells>
  <phoneticPr fontId="2" type="noConversion"/>
  <printOptions horizontalCentered="1"/>
  <pageMargins left="0.25" right="0.25" top="0.75" bottom="0.75" header="0.3" footer="0.3"/>
  <pageSetup paperSize="9" scale="85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N417:O417 J417:M41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49"/>
  <sheetViews>
    <sheetView showGridLines="0" topLeftCell="A4" zoomScale="131" zoomScaleNormal="131" workbookViewId="0">
      <selection activeCell="E15" sqref="E15"/>
    </sheetView>
  </sheetViews>
  <sheetFormatPr defaultRowHeight="14" x14ac:dyDescent="0.25"/>
  <cols>
    <col min="1" max="1" width="7.1640625" customWidth="1"/>
    <col min="2" max="2" width="7.1640625" style="1" customWidth="1"/>
    <col min="3" max="5" width="19.08203125" customWidth="1"/>
    <col min="6" max="6" width="2.4140625" customWidth="1"/>
    <col min="7" max="7" width="11.33203125" customWidth="1"/>
    <col min="8" max="9" width="12" bestFit="1" customWidth="1"/>
    <col min="10" max="10" width="10.1640625" bestFit="1" customWidth="1"/>
  </cols>
  <sheetData>
    <row r="1" spans="1:5" x14ac:dyDescent="0.25">
      <c r="A1" s="439"/>
      <c r="B1" s="440"/>
      <c r="C1" s="443" t="s">
        <v>13</v>
      </c>
      <c r="D1" s="445" t="s">
        <v>12</v>
      </c>
      <c r="E1" s="447" t="s">
        <v>0</v>
      </c>
    </row>
    <row r="2" spans="1:5" ht="14.5" thickBot="1" x14ac:dyDescent="0.3">
      <c r="A2" s="441"/>
      <c r="B2" s="442"/>
      <c r="C2" s="444"/>
      <c r="D2" s="446"/>
      <c r="E2" s="448"/>
    </row>
    <row r="3" spans="1:5" x14ac:dyDescent="0.25">
      <c r="A3" s="449" t="s">
        <v>175</v>
      </c>
      <c r="B3" s="8">
        <v>1</v>
      </c>
      <c r="C3" s="117">
        <v>46054</v>
      </c>
      <c r="D3" s="118">
        <v>264908</v>
      </c>
      <c r="E3" s="119">
        <f>C3+D3</f>
        <v>310962</v>
      </c>
    </row>
    <row r="4" spans="1:5" x14ac:dyDescent="0.25">
      <c r="A4" s="450"/>
      <c r="B4" s="9" t="s">
        <v>47</v>
      </c>
      <c r="C4" s="120">
        <v>57216</v>
      </c>
      <c r="D4" s="121">
        <v>265636</v>
      </c>
      <c r="E4" s="122">
        <f t="shared" ref="E4:E8" si="0">SUM(C4:D4)</f>
        <v>322852</v>
      </c>
    </row>
    <row r="5" spans="1:5" x14ac:dyDescent="0.25">
      <c r="A5" s="450"/>
      <c r="B5" s="9" t="s">
        <v>116</v>
      </c>
      <c r="C5" s="120">
        <v>63090</v>
      </c>
      <c r="D5" s="121">
        <v>304246</v>
      </c>
      <c r="E5" s="122">
        <f t="shared" si="0"/>
        <v>367336</v>
      </c>
    </row>
    <row r="6" spans="1:5" x14ac:dyDescent="0.25">
      <c r="A6" s="450"/>
      <c r="B6" s="9" t="s">
        <v>48</v>
      </c>
      <c r="C6" s="120">
        <v>67510</v>
      </c>
      <c r="D6" s="121">
        <v>286254</v>
      </c>
      <c r="E6" s="122">
        <f t="shared" si="0"/>
        <v>353764</v>
      </c>
    </row>
    <row r="7" spans="1:5" x14ac:dyDescent="0.25">
      <c r="A7" s="450"/>
      <c r="B7" s="9" t="s">
        <v>49</v>
      </c>
      <c r="C7" s="120">
        <v>58966</v>
      </c>
      <c r="D7" s="121">
        <v>293654</v>
      </c>
      <c r="E7" s="122">
        <f t="shared" si="0"/>
        <v>352620</v>
      </c>
    </row>
    <row r="8" spans="1:5" x14ac:dyDescent="0.25">
      <c r="A8" s="450"/>
      <c r="B8" s="309" t="s">
        <v>50</v>
      </c>
      <c r="C8" s="120">
        <v>62064</v>
      </c>
      <c r="D8" s="121">
        <v>297395</v>
      </c>
      <c r="E8" s="310">
        <f t="shared" si="0"/>
        <v>359459</v>
      </c>
    </row>
    <row r="9" spans="1:5" x14ac:dyDescent="0.25">
      <c r="A9" s="450"/>
      <c r="B9" s="9" t="s">
        <v>52</v>
      </c>
      <c r="C9" s="120">
        <v>56227</v>
      </c>
      <c r="D9" s="121">
        <v>279254</v>
      </c>
      <c r="E9" s="122">
        <f t="shared" ref="E9:E14" si="1">SUM(C9:D9)</f>
        <v>335481</v>
      </c>
    </row>
    <row r="10" spans="1:5" x14ac:dyDescent="0.25">
      <c r="A10" s="450"/>
      <c r="B10" s="9" t="s">
        <v>53</v>
      </c>
      <c r="C10" s="120">
        <v>58330</v>
      </c>
      <c r="D10" s="121">
        <v>277811</v>
      </c>
      <c r="E10" s="122">
        <f t="shared" si="1"/>
        <v>336141</v>
      </c>
    </row>
    <row r="11" spans="1:5" x14ac:dyDescent="0.25">
      <c r="A11" s="450"/>
      <c r="B11" s="9" t="s">
        <v>54</v>
      </c>
      <c r="C11" s="120">
        <v>66001</v>
      </c>
      <c r="D11" s="121">
        <v>300730</v>
      </c>
      <c r="E11" s="122">
        <f t="shared" si="1"/>
        <v>366731</v>
      </c>
    </row>
    <row r="12" spans="1:5" x14ac:dyDescent="0.25">
      <c r="A12" s="450"/>
      <c r="B12" s="9" t="s">
        <v>55</v>
      </c>
      <c r="C12" s="120">
        <v>53822</v>
      </c>
      <c r="D12" s="121">
        <v>297931</v>
      </c>
      <c r="E12" s="122">
        <f t="shared" si="1"/>
        <v>351753</v>
      </c>
    </row>
    <row r="13" spans="1:5" x14ac:dyDescent="0.25">
      <c r="A13" s="450"/>
      <c r="B13" s="9" t="s">
        <v>57</v>
      </c>
      <c r="C13" s="120"/>
      <c r="D13" s="121"/>
      <c r="E13" s="122">
        <f t="shared" si="1"/>
        <v>0</v>
      </c>
    </row>
    <row r="14" spans="1:5" ht="14.5" thickBot="1" x14ac:dyDescent="0.3">
      <c r="A14" s="451"/>
      <c r="B14" s="10" t="s">
        <v>58</v>
      </c>
      <c r="C14" s="123"/>
      <c r="D14" s="124"/>
      <c r="E14" s="266">
        <f t="shared" si="1"/>
        <v>0</v>
      </c>
    </row>
    <row r="15" spans="1:5" ht="15" thickTop="1" thickBot="1" x14ac:dyDescent="0.3">
      <c r="A15" s="6"/>
      <c r="B15" s="7" t="s">
        <v>0</v>
      </c>
      <c r="C15" s="126">
        <f>SUM(C3:C14)</f>
        <v>589280</v>
      </c>
      <c r="D15" s="127">
        <f>SUM(D3:D14)</f>
        <v>2867819</v>
      </c>
      <c r="E15" s="128">
        <f>SUM(E3:E14)</f>
        <v>3457099</v>
      </c>
    </row>
    <row r="16" spans="1:5" ht="14.5" thickBot="1" x14ac:dyDescent="0.3"/>
    <row r="17" spans="1:5" x14ac:dyDescent="0.25">
      <c r="A17" s="439"/>
      <c r="B17" s="440"/>
      <c r="C17" s="443" t="s">
        <v>13</v>
      </c>
      <c r="D17" s="445" t="s">
        <v>12</v>
      </c>
      <c r="E17" s="447" t="s">
        <v>0</v>
      </c>
    </row>
    <row r="18" spans="1:5" ht="14.5" thickBot="1" x14ac:dyDescent="0.3">
      <c r="A18" s="441"/>
      <c r="B18" s="442"/>
      <c r="C18" s="444"/>
      <c r="D18" s="446"/>
      <c r="E18" s="448"/>
    </row>
    <row r="19" spans="1:5" x14ac:dyDescent="0.25">
      <c r="A19" s="449" t="s">
        <v>161</v>
      </c>
      <c r="B19" s="8">
        <v>1</v>
      </c>
      <c r="C19" s="117">
        <v>49810</v>
      </c>
      <c r="D19" s="118">
        <f>87500+180513</f>
        <v>268013</v>
      </c>
      <c r="E19" s="119">
        <f t="shared" ref="E19:E24" si="2">SUM(C19:D19)</f>
        <v>317823</v>
      </c>
    </row>
    <row r="20" spans="1:5" x14ac:dyDescent="0.25">
      <c r="A20" s="450"/>
      <c r="B20" s="9" t="s">
        <v>47</v>
      </c>
      <c r="C20" s="120">
        <v>47653</v>
      </c>
      <c r="D20" s="121">
        <f>93790+174150</f>
        <v>267940</v>
      </c>
      <c r="E20" s="122">
        <f t="shared" si="2"/>
        <v>315593</v>
      </c>
    </row>
    <row r="21" spans="1:5" x14ac:dyDescent="0.25">
      <c r="A21" s="450"/>
      <c r="B21" s="9" t="s">
        <v>116</v>
      </c>
      <c r="C21" s="120">
        <v>62504</v>
      </c>
      <c r="D21" s="121">
        <f>104891+205895</f>
        <v>310786</v>
      </c>
      <c r="E21" s="122">
        <f t="shared" si="2"/>
        <v>373290</v>
      </c>
    </row>
    <row r="22" spans="1:5" x14ac:dyDescent="0.25">
      <c r="A22" s="450"/>
      <c r="B22" s="9" t="s">
        <v>48</v>
      </c>
      <c r="C22" s="120">
        <f>63131+602</f>
        <v>63733</v>
      </c>
      <c r="D22" s="121">
        <f>103767+179575-602</f>
        <v>282740</v>
      </c>
      <c r="E22" s="122">
        <f t="shared" si="2"/>
        <v>346473</v>
      </c>
    </row>
    <row r="23" spans="1:5" x14ac:dyDescent="0.25">
      <c r="A23" s="450"/>
      <c r="B23" s="9" t="s">
        <v>49</v>
      </c>
      <c r="C23" s="120">
        <f>60365+1835</f>
        <v>62200</v>
      </c>
      <c r="D23" s="121">
        <f>103637+193097-1835</f>
        <v>294899</v>
      </c>
      <c r="E23" s="122">
        <f t="shared" si="2"/>
        <v>357099</v>
      </c>
    </row>
    <row r="24" spans="1:5" x14ac:dyDescent="0.25">
      <c r="A24" s="450"/>
      <c r="B24" s="309" t="s">
        <v>50</v>
      </c>
      <c r="C24" s="120">
        <f>57140+2664</f>
        <v>59804</v>
      </c>
      <c r="D24" s="121">
        <f>103961+192465-2664</f>
        <v>293762</v>
      </c>
      <c r="E24" s="310">
        <f t="shared" si="2"/>
        <v>353566</v>
      </c>
    </row>
    <row r="25" spans="1:5" x14ac:dyDescent="0.25">
      <c r="A25" s="450"/>
      <c r="B25" s="9" t="s">
        <v>52</v>
      </c>
      <c r="C25" s="120">
        <f>53584+2425</f>
        <v>56009</v>
      </c>
      <c r="D25" s="121">
        <f>106566+173144-2425</f>
        <v>277285</v>
      </c>
      <c r="E25" s="122">
        <f t="shared" ref="E25:E30" si="3">SUM(C25:D25)</f>
        <v>333294</v>
      </c>
    </row>
    <row r="26" spans="1:5" x14ac:dyDescent="0.25">
      <c r="A26" s="450"/>
      <c r="B26" s="9" t="s">
        <v>53</v>
      </c>
      <c r="C26" s="120">
        <f>54965+3122</f>
        <v>58087</v>
      </c>
      <c r="D26" s="121">
        <f>95559+184381-3122</f>
        <v>276818</v>
      </c>
      <c r="E26" s="122">
        <f t="shared" si="3"/>
        <v>334905</v>
      </c>
    </row>
    <row r="27" spans="1:5" x14ac:dyDescent="0.25">
      <c r="A27" s="450"/>
      <c r="B27" s="9" t="s">
        <v>54</v>
      </c>
      <c r="C27" s="120">
        <f>54254+1551</f>
        <v>55805</v>
      </c>
      <c r="D27" s="121">
        <f>92422+197001-1551</f>
        <v>287872</v>
      </c>
      <c r="E27" s="122">
        <f t="shared" si="3"/>
        <v>343677</v>
      </c>
    </row>
    <row r="28" spans="1:5" x14ac:dyDescent="0.25">
      <c r="A28" s="450"/>
      <c r="B28" s="9" t="s">
        <v>55</v>
      </c>
      <c r="C28" s="120">
        <f>63258+1654</f>
        <v>64912</v>
      </c>
      <c r="D28" s="121">
        <f>101081+213578-1654</f>
        <v>313005</v>
      </c>
      <c r="E28" s="122">
        <f t="shared" si="3"/>
        <v>377917</v>
      </c>
    </row>
    <row r="29" spans="1:5" x14ac:dyDescent="0.25">
      <c r="A29" s="450"/>
      <c r="B29" s="9" t="s">
        <v>57</v>
      </c>
      <c r="C29" s="120">
        <f>60831+2339</f>
        <v>63170</v>
      </c>
      <c r="D29" s="121">
        <f>91744+205457-2339</f>
        <v>294862</v>
      </c>
      <c r="E29" s="122">
        <f t="shared" si="3"/>
        <v>358032</v>
      </c>
    </row>
    <row r="30" spans="1:5" ht="14.5" thickBot="1" x14ac:dyDescent="0.3">
      <c r="A30" s="451"/>
      <c r="B30" s="10" t="s">
        <v>58</v>
      </c>
      <c r="C30" s="123">
        <f>59471+1852</f>
        <v>61323</v>
      </c>
      <c r="D30" s="124">
        <f>86076+184743-1852</f>
        <v>268967</v>
      </c>
      <c r="E30" s="266">
        <f t="shared" si="3"/>
        <v>330290</v>
      </c>
    </row>
    <row r="31" spans="1:5" ht="15" thickTop="1" thickBot="1" x14ac:dyDescent="0.3">
      <c r="A31" s="6"/>
      <c r="B31" s="7" t="s">
        <v>0</v>
      </c>
      <c r="C31" s="126">
        <f>SUM(C19:C30)</f>
        <v>705010</v>
      </c>
      <c r="D31" s="127">
        <f>SUM(D19:D30)</f>
        <v>3436949</v>
      </c>
      <c r="E31" s="128">
        <f>SUM(E19:E30)</f>
        <v>4141959</v>
      </c>
    </row>
    <row r="32" spans="1:5" hidden="1" x14ac:dyDescent="0.25"/>
    <row r="33" spans="1:9" ht="15" hidden="1" customHeight="1" x14ac:dyDescent="0.25">
      <c r="A33" s="439"/>
      <c r="B33" s="440"/>
      <c r="C33" s="443" t="s">
        <v>13</v>
      </c>
      <c r="D33" s="445" t="s">
        <v>12</v>
      </c>
      <c r="E33" s="447" t="s">
        <v>0</v>
      </c>
      <c r="F33" s="2"/>
    </row>
    <row r="34" spans="1:9" ht="15" hidden="1" customHeight="1" thickBot="1" x14ac:dyDescent="0.3">
      <c r="A34" s="441"/>
      <c r="B34" s="442"/>
      <c r="C34" s="444"/>
      <c r="D34" s="446"/>
      <c r="E34" s="448"/>
      <c r="F34" s="2"/>
      <c r="G34" s="207"/>
      <c r="H34" s="207"/>
    </row>
    <row r="35" spans="1:9" ht="15" hidden="1" customHeight="1" x14ac:dyDescent="0.25">
      <c r="A35" s="449" t="s">
        <v>148</v>
      </c>
      <c r="B35" s="8">
        <v>1</v>
      </c>
      <c r="C35" s="117">
        <v>51503</v>
      </c>
      <c r="D35" s="118">
        <f>88906+169714</f>
        <v>258620</v>
      </c>
      <c r="E35" s="119">
        <f t="shared" ref="E35:E40" si="4">SUM(C35:D35)</f>
        <v>310123</v>
      </c>
      <c r="F35" s="2"/>
      <c r="G35" s="207"/>
      <c r="H35" s="207"/>
    </row>
    <row r="36" spans="1:9" ht="15" hidden="1" customHeight="1" x14ac:dyDescent="0.25">
      <c r="A36" s="450"/>
      <c r="B36" s="9" t="s">
        <v>47</v>
      </c>
      <c r="C36" s="120">
        <v>65015</v>
      </c>
      <c r="D36" s="121">
        <f>86340+176953</f>
        <v>263293</v>
      </c>
      <c r="E36" s="122">
        <f t="shared" si="4"/>
        <v>328308</v>
      </c>
      <c r="F36" s="2"/>
      <c r="G36" s="207"/>
      <c r="H36" s="207"/>
      <c r="I36" s="207"/>
    </row>
    <row r="37" spans="1:9" ht="15" hidden="1" customHeight="1" x14ac:dyDescent="0.25">
      <c r="A37" s="450"/>
      <c r="B37" s="9" t="s">
        <v>116</v>
      </c>
      <c r="C37" s="120">
        <v>74529</v>
      </c>
      <c r="D37" s="121">
        <f>99323+209544</f>
        <v>308867</v>
      </c>
      <c r="E37" s="122">
        <f t="shared" si="4"/>
        <v>383396</v>
      </c>
      <c r="G37" s="207"/>
      <c r="H37" s="207"/>
      <c r="I37" s="207"/>
    </row>
    <row r="38" spans="1:9" ht="15" hidden="1" customHeight="1" x14ac:dyDescent="0.25">
      <c r="A38" s="450"/>
      <c r="B38" s="9" t="s">
        <v>48</v>
      </c>
      <c r="C38" s="120">
        <v>66660</v>
      </c>
      <c r="D38" s="121">
        <f>92549+175681</f>
        <v>268230</v>
      </c>
      <c r="E38" s="122">
        <f t="shared" si="4"/>
        <v>334890</v>
      </c>
      <c r="H38" s="207"/>
    </row>
    <row r="39" spans="1:9" ht="15" hidden="1" customHeight="1" x14ac:dyDescent="0.25">
      <c r="A39" s="450"/>
      <c r="B39" s="9" t="s">
        <v>49</v>
      </c>
      <c r="C39" s="120">
        <v>68680</v>
      </c>
      <c r="D39" s="121">
        <f>96336+184621</f>
        <v>280957</v>
      </c>
      <c r="E39" s="122">
        <f t="shared" si="4"/>
        <v>349637</v>
      </c>
      <c r="H39" s="207"/>
    </row>
    <row r="40" spans="1:9" ht="15" hidden="1" customHeight="1" x14ac:dyDescent="0.25">
      <c r="A40" s="450"/>
      <c r="B40" s="9" t="s">
        <v>50</v>
      </c>
      <c r="C40" s="120">
        <v>70163</v>
      </c>
      <c r="D40" s="121">
        <f>99822+205182</f>
        <v>305004</v>
      </c>
      <c r="E40" s="122">
        <f t="shared" si="4"/>
        <v>375167</v>
      </c>
      <c r="H40" s="207"/>
      <c r="I40" s="207"/>
    </row>
    <row r="41" spans="1:9" ht="15" hidden="1" customHeight="1" x14ac:dyDescent="0.25">
      <c r="A41" s="450"/>
      <c r="B41" s="9" t="s">
        <v>52</v>
      </c>
      <c r="C41" s="120">
        <v>57503</v>
      </c>
      <c r="D41" s="121">
        <f>96158+182994</f>
        <v>279152</v>
      </c>
      <c r="E41" s="122">
        <f>SUM(C41:D41)</f>
        <v>336655</v>
      </c>
      <c r="H41" s="207"/>
    </row>
    <row r="42" spans="1:9" ht="15" hidden="1" customHeight="1" x14ac:dyDescent="0.25">
      <c r="A42" s="450"/>
      <c r="B42" s="9" t="s">
        <v>53</v>
      </c>
      <c r="C42" s="120">
        <v>55555</v>
      </c>
      <c r="D42" s="121">
        <f>97498+198674</f>
        <v>296172</v>
      </c>
      <c r="E42" s="122">
        <f>SUM(C42:D42)</f>
        <v>351727</v>
      </c>
      <c r="H42" s="207"/>
    </row>
    <row r="43" spans="1:9" ht="15" hidden="1" customHeight="1" x14ac:dyDescent="0.25">
      <c r="A43" s="450"/>
      <c r="B43" s="9" t="s">
        <v>54</v>
      </c>
      <c r="C43" s="120">
        <v>53911</v>
      </c>
      <c r="D43" s="121">
        <f>91068+212154</f>
        <v>303222</v>
      </c>
      <c r="E43" s="122">
        <f t="shared" ref="E43:E46" si="5">SUM(C43:D43)</f>
        <v>357133</v>
      </c>
    </row>
    <row r="44" spans="1:9" ht="15" hidden="1" customHeight="1" x14ac:dyDescent="0.25">
      <c r="A44" s="450"/>
      <c r="B44" s="9" t="s">
        <v>55</v>
      </c>
      <c r="C44" s="120">
        <v>64328</v>
      </c>
      <c r="D44" s="121">
        <f>99362+213642</f>
        <v>313004</v>
      </c>
      <c r="E44" s="122">
        <f t="shared" si="5"/>
        <v>377332</v>
      </c>
    </row>
    <row r="45" spans="1:9" ht="15" hidden="1" customHeight="1" x14ac:dyDescent="0.25">
      <c r="A45" s="450"/>
      <c r="B45" s="9" t="s">
        <v>57</v>
      </c>
      <c r="C45" s="120">
        <v>72058</v>
      </c>
      <c r="D45" s="121">
        <f>90489+206809</f>
        <v>297298</v>
      </c>
      <c r="E45" s="122">
        <f t="shared" si="5"/>
        <v>369356</v>
      </c>
    </row>
    <row r="46" spans="1:9" ht="15" hidden="1" customHeight="1" thickBot="1" x14ac:dyDescent="0.3">
      <c r="A46" s="451"/>
      <c r="B46" s="10" t="s">
        <v>58</v>
      </c>
      <c r="C46" s="123">
        <v>62172</v>
      </c>
      <c r="D46" s="124">
        <f>86957+194045</f>
        <v>281002</v>
      </c>
      <c r="E46" s="266">
        <f t="shared" si="5"/>
        <v>343174</v>
      </c>
    </row>
    <row r="47" spans="1:9" ht="15" hidden="1" thickTop="1" thickBot="1" x14ac:dyDescent="0.3">
      <c r="A47" s="6"/>
      <c r="B47" s="7" t="s">
        <v>0</v>
      </c>
      <c r="C47" s="126">
        <f>SUM(C35:C46)</f>
        <v>762077</v>
      </c>
      <c r="D47" s="127">
        <f>SUM(D35:D46)</f>
        <v>3454821</v>
      </c>
      <c r="E47" s="128">
        <f>SUM(E35:E46)</f>
        <v>4216898</v>
      </c>
    </row>
    <row r="48" spans="1:9" ht="14.5" hidden="1" thickBot="1" x14ac:dyDescent="0.3"/>
    <row r="49" spans="1:10" ht="15" hidden="1" customHeight="1" x14ac:dyDescent="0.25">
      <c r="A49" s="439"/>
      <c r="B49" s="440"/>
      <c r="C49" s="443" t="s">
        <v>13</v>
      </c>
      <c r="D49" s="445" t="s">
        <v>12</v>
      </c>
      <c r="E49" s="447" t="s">
        <v>0</v>
      </c>
      <c r="F49" s="2"/>
    </row>
    <row r="50" spans="1:10" ht="15" hidden="1" customHeight="1" thickBot="1" x14ac:dyDescent="0.3">
      <c r="A50" s="441"/>
      <c r="B50" s="442"/>
      <c r="C50" s="444"/>
      <c r="D50" s="446"/>
      <c r="E50" s="448"/>
      <c r="F50" s="2"/>
    </row>
    <row r="51" spans="1:10" ht="15" hidden="1" customHeight="1" x14ac:dyDescent="0.25">
      <c r="A51" s="449" t="s">
        <v>139</v>
      </c>
      <c r="B51" s="8">
        <v>1</v>
      </c>
      <c r="C51" s="117">
        <v>46205</v>
      </c>
      <c r="D51" s="118">
        <f>69927+166524</f>
        <v>236451</v>
      </c>
      <c r="E51" s="119">
        <f t="shared" ref="E51:E56" si="6">SUM(C51:D51)</f>
        <v>282656</v>
      </c>
      <c r="F51" s="2"/>
      <c r="H51" s="207"/>
      <c r="I51" s="207"/>
    </row>
    <row r="52" spans="1:10" ht="15" hidden="1" customHeight="1" x14ac:dyDescent="0.25">
      <c r="A52" s="450"/>
      <c r="B52" s="9" t="s">
        <v>114</v>
      </c>
      <c r="C52" s="120">
        <v>53010</v>
      </c>
      <c r="D52" s="121">
        <f>76292+176029</f>
        <v>252321</v>
      </c>
      <c r="E52" s="122">
        <f t="shared" si="6"/>
        <v>305331</v>
      </c>
      <c r="F52" s="2"/>
      <c r="H52" s="207"/>
    </row>
    <row r="53" spans="1:10" ht="15" hidden="1" customHeight="1" x14ac:dyDescent="0.25">
      <c r="A53" s="450"/>
      <c r="B53" s="9" t="s">
        <v>116</v>
      </c>
      <c r="C53" s="120">
        <v>52883</v>
      </c>
      <c r="D53" s="121">
        <f>77812+184009</f>
        <v>261821</v>
      </c>
      <c r="E53" s="122">
        <f t="shared" si="6"/>
        <v>314704</v>
      </c>
      <c r="H53" s="207"/>
    </row>
    <row r="54" spans="1:10" ht="15" hidden="1" customHeight="1" x14ac:dyDescent="0.25">
      <c r="A54" s="450"/>
      <c r="B54" s="9" t="s">
        <v>117</v>
      </c>
      <c r="C54" s="120">
        <v>59415</v>
      </c>
      <c r="D54" s="121">
        <f>78895+171566</f>
        <v>250461</v>
      </c>
      <c r="E54" s="122">
        <f t="shared" si="6"/>
        <v>309876</v>
      </c>
      <c r="G54" s="207"/>
      <c r="H54" s="207"/>
      <c r="I54" s="207"/>
      <c r="J54" s="207"/>
    </row>
    <row r="55" spans="1:10" ht="15" hidden="1" customHeight="1" x14ac:dyDescent="0.25">
      <c r="A55" s="450"/>
      <c r="B55" s="9" t="s">
        <v>122</v>
      </c>
      <c r="C55" s="120">
        <v>63373</v>
      </c>
      <c r="D55" s="121">
        <f>86015+174445</f>
        <v>260460</v>
      </c>
      <c r="E55" s="122">
        <f t="shared" si="6"/>
        <v>323833</v>
      </c>
      <c r="G55" s="207"/>
      <c r="H55" s="207"/>
      <c r="I55" s="207"/>
      <c r="J55" s="207"/>
    </row>
    <row r="56" spans="1:10" ht="15" hidden="1" customHeight="1" x14ac:dyDescent="0.25">
      <c r="A56" s="450"/>
      <c r="B56" s="9" t="s">
        <v>123</v>
      </c>
      <c r="C56" s="120">
        <v>59510</v>
      </c>
      <c r="D56" s="121">
        <f>87262+195869</f>
        <v>283131</v>
      </c>
      <c r="E56" s="122">
        <f t="shared" si="6"/>
        <v>342641</v>
      </c>
      <c r="G56" s="207"/>
      <c r="H56" s="207"/>
      <c r="I56" s="207"/>
    </row>
    <row r="57" spans="1:10" ht="15" hidden="1" customHeight="1" x14ac:dyDescent="0.25">
      <c r="A57" s="450"/>
      <c r="B57" s="9" t="s">
        <v>125</v>
      </c>
      <c r="C57" s="120">
        <v>56305</v>
      </c>
      <c r="D57" s="121">
        <f>82275+192266</f>
        <v>274541</v>
      </c>
      <c r="E57" s="122">
        <f t="shared" ref="E57:E62" si="7">SUM(C57:D57)</f>
        <v>330846</v>
      </c>
    </row>
    <row r="58" spans="1:10" ht="15" hidden="1" customHeight="1" x14ac:dyDescent="0.25">
      <c r="A58" s="450"/>
      <c r="B58" s="9" t="s">
        <v>129</v>
      </c>
      <c r="C58" s="120">
        <v>49224</v>
      </c>
      <c r="D58" s="121">
        <f>87431+199954</f>
        <v>287385</v>
      </c>
      <c r="E58" s="122">
        <f t="shared" si="7"/>
        <v>336609</v>
      </c>
      <c r="H58" s="207"/>
    </row>
    <row r="59" spans="1:10" ht="15" hidden="1" customHeight="1" x14ac:dyDescent="0.25">
      <c r="A59" s="450"/>
      <c r="B59" s="9" t="s">
        <v>130</v>
      </c>
      <c r="C59" s="120">
        <v>56910</v>
      </c>
      <c r="D59" s="121">
        <f>85310+215335</f>
        <v>300645</v>
      </c>
      <c r="E59" s="122">
        <f t="shared" si="7"/>
        <v>357555</v>
      </c>
    </row>
    <row r="60" spans="1:10" ht="15" hidden="1" customHeight="1" x14ac:dyDescent="0.25">
      <c r="A60" s="450"/>
      <c r="B60" s="9" t="s">
        <v>133</v>
      </c>
      <c r="C60" s="120">
        <v>60736</v>
      </c>
      <c r="D60" s="121">
        <f>85557+198617</f>
        <v>284174</v>
      </c>
      <c r="E60" s="122">
        <f t="shared" si="7"/>
        <v>344910</v>
      </c>
    </row>
    <row r="61" spans="1:10" ht="15" hidden="1" customHeight="1" x14ac:dyDescent="0.25">
      <c r="A61" s="450"/>
      <c r="B61" s="9" t="s">
        <v>136</v>
      </c>
      <c r="C61" s="120">
        <v>60926</v>
      </c>
      <c r="D61" s="121">
        <f>90898+196456</f>
        <v>287354</v>
      </c>
      <c r="E61" s="122">
        <f t="shared" si="7"/>
        <v>348280</v>
      </c>
    </row>
    <row r="62" spans="1:10" ht="15" hidden="1" customHeight="1" thickBot="1" x14ac:dyDescent="0.3">
      <c r="A62" s="451"/>
      <c r="B62" s="10" t="s">
        <v>137</v>
      </c>
      <c r="C62" s="123">
        <v>70387</v>
      </c>
      <c r="D62" s="124">
        <v>275294</v>
      </c>
      <c r="E62" s="267">
        <f t="shared" si="7"/>
        <v>345681</v>
      </c>
    </row>
    <row r="63" spans="1:10" ht="15" hidden="1" thickTop="1" thickBot="1" x14ac:dyDescent="0.3">
      <c r="A63" s="6"/>
      <c r="B63" s="7" t="s">
        <v>0</v>
      </c>
      <c r="C63" s="126">
        <f>SUM(C51:C62)</f>
        <v>688884</v>
      </c>
      <c r="D63" s="127">
        <f>SUM(D51:D62)</f>
        <v>3254038</v>
      </c>
      <c r="E63" s="268" t="s">
        <v>172</v>
      </c>
    </row>
    <row r="64" spans="1:10" ht="14.5" hidden="1" thickBot="1" x14ac:dyDescent="0.3"/>
    <row r="65" spans="1:8" ht="15" hidden="1" customHeight="1" x14ac:dyDescent="0.25">
      <c r="A65" s="439"/>
      <c r="B65" s="440"/>
      <c r="C65" s="443" t="s">
        <v>13</v>
      </c>
      <c r="D65" s="445" t="s">
        <v>12</v>
      </c>
      <c r="E65" s="447" t="s">
        <v>0</v>
      </c>
      <c r="F65" s="2"/>
    </row>
    <row r="66" spans="1:8" ht="15" hidden="1" customHeight="1" thickBot="1" x14ac:dyDescent="0.3">
      <c r="A66" s="441"/>
      <c r="B66" s="442"/>
      <c r="C66" s="444"/>
      <c r="D66" s="446"/>
      <c r="E66" s="448"/>
      <c r="F66" s="2"/>
      <c r="H66" s="207"/>
    </row>
    <row r="67" spans="1:8" ht="15" hidden="1" customHeight="1" x14ac:dyDescent="0.25">
      <c r="A67" s="449" t="s">
        <v>113</v>
      </c>
      <c r="B67" s="8">
        <v>1</v>
      </c>
      <c r="C67" s="117">
        <v>59501</v>
      </c>
      <c r="D67" s="118">
        <f>72046+189521</f>
        <v>261567</v>
      </c>
      <c r="E67" s="119">
        <f t="shared" ref="E67:E72" si="8">C67+D67</f>
        <v>321068</v>
      </c>
      <c r="F67" s="2"/>
      <c r="H67" s="207"/>
    </row>
    <row r="68" spans="1:8" ht="15" hidden="1" customHeight="1" x14ac:dyDescent="0.25">
      <c r="A68" s="450"/>
      <c r="B68" s="9" t="s">
        <v>114</v>
      </c>
      <c r="C68" s="120">
        <v>52102</v>
      </c>
      <c r="D68" s="121">
        <f>66346+182066</f>
        <v>248412</v>
      </c>
      <c r="E68" s="122">
        <f t="shared" si="8"/>
        <v>300514</v>
      </c>
      <c r="F68" s="2"/>
      <c r="H68" s="207"/>
    </row>
    <row r="69" spans="1:8" ht="15" hidden="1" customHeight="1" x14ac:dyDescent="0.25">
      <c r="A69" s="450"/>
      <c r="B69" s="9" t="s">
        <v>116</v>
      </c>
      <c r="C69" s="120">
        <v>73810</v>
      </c>
      <c r="D69" s="121">
        <f>82616+221820</f>
        <v>304436</v>
      </c>
      <c r="E69" s="122">
        <f t="shared" si="8"/>
        <v>378246</v>
      </c>
      <c r="H69" s="207"/>
    </row>
    <row r="70" spans="1:8" ht="15" hidden="1" customHeight="1" x14ac:dyDescent="0.25">
      <c r="A70" s="450"/>
      <c r="B70" s="9" t="s">
        <v>117</v>
      </c>
      <c r="C70" s="120">
        <v>70219</v>
      </c>
      <c r="D70" s="121">
        <f>76112+202853</f>
        <v>278965</v>
      </c>
      <c r="E70" s="122">
        <f t="shared" si="8"/>
        <v>349184</v>
      </c>
    </row>
    <row r="71" spans="1:8" ht="15" hidden="1" customHeight="1" x14ac:dyDescent="0.25">
      <c r="A71" s="450"/>
      <c r="B71" s="9" t="s">
        <v>122</v>
      </c>
      <c r="C71" s="120">
        <v>62056</v>
      </c>
      <c r="D71" s="121">
        <f>83951+179535</f>
        <v>263486</v>
      </c>
      <c r="E71" s="122">
        <f t="shared" si="8"/>
        <v>325542</v>
      </c>
    </row>
    <row r="72" spans="1:8" ht="15" hidden="1" customHeight="1" x14ac:dyDescent="0.25">
      <c r="A72" s="450"/>
      <c r="B72" s="9" t="s">
        <v>123</v>
      </c>
      <c r="C72" s="120">
        <v>68407</v>
      </c>
      <c r="D72" s="121">
        <f>85177+203047</f>
        <v>288224</v>
      </c>
      <c r="E72" s="122">
        <f t="shared" si="8"/>
        <v>356631</v>
      </c>
      <c r="H72" s="207"/>
    </row>
    <row r="73" spans="1:8" ht="15" hidden="1" customHeight="1" x14ac:dyDescent="0.25">
      <c r="A73" s="450"/>
      <c r="B73" s="9" t="s">
        <v>125</v>
      </c>
      <c r="C73" s="120">
        <v>59856</v>
      </c>
      <c r="D73" s="121">
        <f>74804+178800</f>
        <v>253604</v>
      </c>
      <c r="E73" s="122">
        <f>SUM(C73+D73)</f>
        <v>313460</v>
      </c>
      <c r="H73" s="207"/>
    </row>
    <row r="74" spans="1:8" ht="15" hidden="1" customHeight="1" x14ac:dyDescent="0.25">
      <c r="A74" s="450"/>
      <c r="B74" s="9" t="s">
        <v>129</v>
      </c>
      <c r="C74" s="120">
        <v>51034</v>
      </c>
      <c r="D74" s="121">
        <f>74986+173984</f>
        <v>248970</v>
      </c>
      <c r="E74" s="122">
        <f>SUM(C74+D74)</f>
        <v>300004</v>
      </c>
      <c r="H74" s="207"/>
    </row>
    <row r="75" spans="1:8" ht="15" hidden="1" customHeight="1" x14ac:dyDescent="0.25">
      <c r="A75" s="450"/>
      <c r="B75" s="9" t="s">
        <v>130</v>
      </c>
      <c r="C75" s="120">
        <v>43857</v>
      </c>
      <c r="D75" s="121">
        <f>79193+162388</f>
        <v>241581</v>
      </c>
      <c r="E75" s="122">
        <f>SUM(C75:D75)</f>
        <v>285438</v>
      </c>
    </row>
    <row r="76" spans="1:8" ht="15" hidden="1" customHeight="1" x14ac:dyDescent="0.25">
      <c r="A76" s="450"/>
      <c r="B76" s="9" t="s">
        <v>133</v>
      </c>
      <c r="C76" s="120">
        <v>57813</v>
      </c>
      <c r="D76" s="121">
        <f>84242+167426</f>
        <v>251668</v>
      </c>
      <c r="E76" s="122">
        <f>SUM(C76:D76)</f>
        <v>309481</v>
      </c>
    </row>
    <row r="77" spans="1:8" ht="15" hidden="1" customHeight="1" x14ac:dyDescent="0.25">
      <c r="A77" s="450"/>
      <c r="B77" s="9" t="s">
        <v>136</v>
      </c>
      <c r="C77" s="120">
        <v>62071</v>
      </c>
      <c r="D77" s="121">
        <f>71409+183701</f>
        <v>255110</v>
      </c>
      <c r="E77" s="122">
        <f>SUM(C77:D77)</f>
        <v>317181</v>
      </c>
    </row>
    <row r="78" spans="1:8" ht="15" hidden="1" customHeight="1" thickBot="1" x14ac:dyDescent="0.3">
      <c r="A78" s="451"/>
      <c r="B78" s="10" t="s">
        <v>137</v>
      </c>
      <c r="C78" s="123">
        <v>66112</v>
      </c>
      <c r="D78" s="124">
        <f>77405+190460</f>
        <v>267865</v>
      </c>
      <c r="E78" s="125">
        <f>SUM(C78:D78)</f>
        <v>333977</v>
      </c>
    </row>
    <row r="79" spans="1:8" ht="15" hidden="1" thickTop="1" thickBot="1" x14ac:dyDescent="0.3">
      <c r="A79" s="6"/>
      <c r="B79" s="7" t="s">
        <v>0</v>
      </c>
      <c r="C79" s="126">
        <f>SUM(C67:C78)</f>
        <v>726838</v>
      </c>
      <c r="D79" s="127">
        <f>SUM(D67:D78)</f>
        <v>3163888</v>
      </c>
      <c r="E79" s="128">
        <f>SUM(E67:E78)</f>
        <v>3890726</v>
      </c>
    </row>
    <row r="80" spans="1:8" ht="13.5" hidden="1" customHeight="1" thickBot="1" x14ac:dyDescent="0.3">
      <c r="A80" s="2"/>
      <c r="B80" s="3"/>
      <c r="C80" s="2"/>
      <c r="D80" s="2"/>
      <c r="E80" s="2"/>
      <c r="F80" s="2"/>
    </row>
    <row r="81" spans="1:9" ht="15" hidden="1" customHeight="1" x14ac:dyDescent="0.25">
      <c r="A81" s="439"/>
      <c r="B81" s="440"/>
      <c r="C81" s="443" t="s">
        <v>13</v>
      </c>
      <c r="D81" s="445" t="s">
        <v>12</v>
      </c>
      <c r="E81" s="447" t="s">
        <v>0</v>
      </c>
      <c r="F81" s="2"/>
    </row>
    <row r="82" spans="1:9" ht="15" hidden="1" customHeight="1" thickBot="1" x14ac:dyDescent="0.3">
      <c r="A82" s="441"/>
      <c r="B82" s="442"/>
      <c r="C82" s="444"/>
      <c r="D82" s="446"/>
      <c r="E82" s="448"/>
      <c r="F82" s="2"/>
    </row>
    <row r="83" spans="1:9" ht="15" hidden="1" customHeight="1" x14ac:dyDescent="0.25">
      <c r="A83" s="449" t="s">
        <v>95</v>
      </c>
      <c r="B83" s="8">
        <v>1</v>
      </c>
      <c r="C83" s="117">
        <v>47591</v>
      </c>
      <c r="D83" s="118">
        <v>267234</v>
      </c>
      <c r="E83" s="119">
        <f t="shared" ref="E83:E94" si="9">C83+D83</f>
        <v>314825</v>
      </c>
      <c r="F83" s="2"/>
    </row>
    <row r="84" spans="1:9" ht="15" hidden="1" customHeight="1" x14ac:dyDescent="0.25">
      <c r="A84" s="450"/>
      <c r="B84" s="9" t="s">
        <v>47</v>
      </c>
      <c r="C84" s="120">
        <v>39290</v>
      </c>
      <c r="D84" s="121">
        <v>242073</v>
      </c>
      <c r="E84" s="122">
        <f t="shared" si="9"/>
        <v>281363</v>
      </c>
      <c r="F84" s="2"/>
    </row>
    <row r="85" spans="1:9" ht="15" hidden="1" customHeight="1" x14ac:dyDescent="0.25">
      <c r="A85" s="450"/>
      <c r="B85" s="9">
        <v>3</v>
      </c>
      <c r="C85" s="120">
        <v>72180</v>
      </c>
      <c r="D85" s="121">
        <v>234996</v>
      </c>
      <c r="E85" s="122">
        <f t="shared" si="9"/>
        <v>307176</v>
      </c>
    </row>
    <row r="86" spans="1:9" ht="15" hidden="1" customHeight="1" x14ac:dyDescent="0.25">
      <c r="A86" s="450"/>
      <c r="B86" s="9" t="s">
        <v>48</v>
      </c>
      <c r="C86" s="120">
        <v>71042</v>
      </c>
      <c r="D86" s="121">
        <v>96651</v>
      </c>
      <c r="E86" s="122">
        <f t="shared" si="9"/>
        <v>167693</v>
      </c>
    </row>
    <row r="87" spans="1:9" ht="15" hidden="1" customHeight="1" x14ac:dyDescent="0.25">
      <c r="A87" s="450"/>
      <c r="B87" s="9" t="s">
        <v>49</v>
      </c>
      <c r="C87" s="120">
        <v>70810</v>
      </c>
      <c r="D87" s="121">
        <v>155646</v>
      </c>
      <c r="E87" s="122">
        <f t="shared" si="9"/>
        <v>226456</v>
      </c>
    </row>
    <row r="88" spans="1:9" ht="15" hidden="1" customHeight="1" x14ac:dyDescent="0.25">
      <c r="A88" s="450"/>
      <c r="B88" s="9" t="s">
        <v>50</v>
      </c>
      <c r="C88" s="120">
        <v>83700</v>
      </c>
      <c r="D88" s="121">
        <v>226127</v>
      </c>
      <c r="E88" s="122">
        <f t="shared" si="9"/>
        <v>309827</v>
      </c>
    </row>
    <row r="89" spans="1:9" ht="15" hidden="1" customHeight="1" x14ac:dyDescent="0.25">
      <c r="A89" s="450"/>
      <c r="B89" s="9" t="s">
        <v>52</v>
      </c>
      <c r="C89" s="120">
        <v>77381</v>
      </c>
      <c r="D89" s="121">
        <v>240022</v>
      </c>
      <c r="E89" s="122">
        <f t="shared" si="9"/>
        <v>317403</v>
      </c>
      <c r="I89" s="207"/>
    </row>
    <row r="90" spans="1:9" ht="15" hidden="1" customHeight="1" x14ac:dyDescent="0.25">
      <c r="A90" s="450"/>
      <c r="B90" s="9" t="s">
        <v>53</v>
      </c>
      <c r="C90" s="120">
        <v>54590</v>
      </c>
      <c r="D90" s="121">
        <v>264110</v>
      </c>
      <c r="E90" s="122">
        <f t="shared" si="9"/>
        <v>318700</v>
      </c>
    </row>
    <row r="91" spans="1:9" ht="15" hidden="1" customHeight="1" x14ac:dyDescent="0.25">
      <c r="A91" s="450"/>
      <c r="B91" s="9" t="s">
        <v>54</v>
      </c>
      <c r="C91" s="120">
        <v>67080</v>
      </c>
      <c r="D91" s="121">
        <v>294631</v>
      </c>
      <c r="E91" s="122">
        <f t="shared" si="9"/>
        <v>361711</v>
      </c>
    </row>
    <row r="92" spans="1:9" ht="15" hidden="1" customHeight="1" x14ac:dyDescent="0.25">
      <c r="A92" s="450"/>
      <c r="B92" s="9" t="s">
        <v>55</v>
      </c>
      <c r="C92" s="120">
        <v>65669</v>
      </c>
      <c r="D92" s="121">
        <v>321528</v>
      </c>
      <c r="E92" s="122">
        <f t="shared" si="9"/>
        <v>387197</v>
      </c>
    </row>
    <row r="93" spans="1:9" ht="15" hidden="1" customHeight="1" x14ac:dyDescent="0.25">
      <c r="A93" s="450"/>
      <c r="B93" s="9" t="s">
        <v>57</v>
      </c>
      <c r="C93" s="120">
        <v>70035</v>
      </c>
      <c r="D93" s="121">
        <v>307158</v>
      </c>
      <c r="E93" s="122">
        <f t="shared" si="9"/>
        <v>377193</v>
      </c>
    </row>
    <row r="94" spans="1:9" ht="15" hidden="1" customHeight="1" thickBot="1" x14ac:dyDescent="0.3">
      <c r="A94" s="451"/>
      <c r="B94" s="10" t="s">
        <v>58</v>
      </c>
      <c r="C94" s="123">
        <v>68486</v>
      </c>
      <c r="D94" s="124">
        <v>306707</v>
      </c>
      <c r="E94" s="125">
        <f t="shared" si="9"/>
        <v>375193</v>
      </c>
    </row>
    <row r="95" spans="1:9" ht="15" hidden="1" thickTop="1" thickBot="1" x14ac:dyDescent="0.3">
      <c r="A95" s="6"/>
      <c r="B95" s="7" t="s">
        <v>0</v>
      </c>
      <c r="C95" s="126">
        <f>SUM(C83:C94)</f>
        <v>787854</v>
      </c>
      <c r="D95" s="127">
        <f>SUM(D83:D94)</f>
        <v>2956883</v>
      </c>
      <c r="E95" s="128">
        <f>SUM(E83:E94)</f>
        <v>3744737</v>
      </c>
    </row>
    <row r="96" spans="1:9" ht="14.5" hidden="1" thickBot="1" x14ac:dyDescent="0.3">
      <c r="A96" s="189"/>
      <c r="B96" s="189"/>
      <c r="C96" s="190"/>
      <c r="D96" s="190"/>
      <c r="E96" s="190"/>
    </row>
    <row r="97" spans="1:6" hidden="1" x14ac:dyDescent="0.25">
      <c r="A97" s="439"/>
      <c r="B97" s="440"/>
      <c r="C97" s="443" t="s">
        <v>13</v>
      </c>
      <c r="D97" s="445" t="s">
        <v>12</v>
      </c>
      <c r="E97" s="447" t="s">
        <v>0</v>
      </c>
    </row>
    <row r="98" spans="1:6" ht="14.5" hidden="1" thickBot="1" x14ac:dyDescent="0.3">
      <c r="A98" s="441"/>
      <c r="B98" s="442"/>
      <c r="C98" s="444"/>
      <c r="D98" s="446"/>
      <c r="E98" s="448"/>
    </row>
    <row r="99" spans="1:6" hidden="1" x14ac:dyDescent="0.25">
      <c r="A99" s="449" t="s">
        <v>115</v>
      </c>
      <c r="B99" s="8">
        <v>1</v>
      </c>
      <c r="C99" s="117">
        <v>60440</v>
      </c>
      <c r="D99" s="118">
        <v>254954</v>
      </c>
      <c r="E99" s="119">
        <f t="shared" ref="E99:E110" si="10">C99+D99</f>
        <v>315394</v>
      </c>
    </row>
    <row r="100" spans="1:6" hidden="1" x14ac:dyDescent="0.25">
      <c r="A100" s="450"/>
      <c r="B100" s="9" t="s">
        <v>47</v>
      </c>
      <c r="C100" s="120">
        <v>53406</v>
      </c>
      <c r="D100" s="121">
        <v>262414</v>
      </c>
      <c r="E100" s="122">
        <f t="shared" si="10"/>
        <v>315820</v>
      </c>
    </row>
    <row r="101" spans="1:6" hidden="1" x14ac:dyDescent="0.25">
      <c r="A101" s="450"/>
      <c r="B101" s="9">
        <v>3</v>
      </c>
      <c r="C101" s="120">
        <v>70111</v>
      </c>
      <c r="D101" s="121">
        <v>320066</v>
      </c>
      <c r="E101" s="122">
        <f t="shared" si="10"/>
        <v>390177</v>
      </c>
    </row>
    <row r="102" spans="1:6" hidden="1" x14ac:dyDescent="0.25">
      <c r="A102" s="450"/>
      <c r="B102" s="9" t="s">
        <v>48</v>
      </c>
      <c r="C102" s="120">
        <v>71413</v>
      </c>
      <c r="D102" s="121">
        <v>297540</v>
      </c>
      <c r="E102" s="122">
        <f t="shared" si="10"/>
        <v>368953</v>
      </c>
    </row>
    <row r="103" spans="1:6" hidden="1" x14ac:dyDescent="0.25">
      <c r="A103" s="450"/>
      <c r="B103" s="9" t="s">
        <v>49</v>
      </c>
      <c r="C103" s="120">
        <v>67756</v>
      </c>
      <c r="D103" s="121">
        <v>290811</v>
      </c>
      <c r="E103" s="122">
        <f t="shared" si="10"/>
        <v>358567</v>
      </c>
    </row>
    <row r="104" spans="1:6" hidden="1" x14ac:dyDescent="0.25">
      <c r="A104" s="450"/>
      <c r="B104" s="9" t="s">
        <v>50</v>
      </c>
      <c r="C104" s="120">
        <v>60987</v>
      </c>
      <c r="D104" s="121">
        <v>316409</v>
      </c>
      <c r="E104" s="122">
        <f t="shared" si="10"/>
        <v>377396</v>
      </c>
    </row>
    <row r="105" spans="1:6" hidden="1" x14ac:dyDescent="0.25">
      <c r="A105" s="450"/>
      <c r="B105" s="9" t="s">
        <v>52</v>
      </c>
      <c r="C105" s="120">
        <v>60286</v>
      </c>
      <c r="D105" s="121">
        <v>297576</v>
      </c>
      <c r="E105" s="122">
        <f t="shared" si="10"/>
        <v>357862</v>
      </c>
    </row>
    <row r="106" spans="1:6" hidden="1" x14ac:dyDescent="0.25">
      <c r="A106" s="450"/>
      <c r="B106" s="9" t="s">
        <v>53</v>
      </c>
      <c r="C106" s="120">
        <v>52897</v>
      </c>
      <c r="D106" s="121">
        <v>311693</v>
      </c>
      <c r="E106" s="122">
        <f t="shared" si="10"/>
        <v>364590</v>
      </c>
    </row>
    <row r="107" spans="1:6" hidden="1" x14ac:dyDescent="0.25">
      <c r="A107" s="450"/>
      <c r="B107" s="9" t="s">
        <v>54</v>
      </c>
      <c r="C107" s="120">
        <v>50139</v>
      </c>
      <c r="D107" s="121">
        <v>330771</v>
      </c>
      <c r="E107" s="122">
        <f t="shared" si="10"/>
        <v>380910</v>
      </c>
    </row>
    <row r="108" spans="1:6" hidden="1" x14ac:dyDescent="0.25">
      <c r="A108" s="450"/>
      <c r="B108" s="9" t="s">
        <v>55</v>
      </c>
      <c r="C108" s="120">
        <v>64912</v>
      </c>
      <c r="D108" s="121">
        <v>337800</v>
      </c>
      <c r="E108" s="122">
        <f t="shared" si="10"/>
        <v>402712</v>
      </c>
    </row>
    <row r="109" spans="1:6" hidden="1" x14ac:dyDescent="0.25">
      <c r="A109" s="450"/>
      <c r="B109" s="9" t="s">
        <v>57</v>
      </c>
      <c r="C109" s="120">
        <v>63160</v>
      </c>
      <c r="D109" s="121">
        <v>330534</v>
      </c>
      <c r="E109" s="122">
        <f t="shared" si="10"/>
        <v>393694</v>
      </c>
    </row>
    <row r="110" spans="1:6" ht="14.5" hidden="1" thickBot="1" x14ac:dyDescent="0.3">
      <c r="A110" s="451"/>
      <c r="B110" s="10" t="s">
        <v>58</v>
      </c>
      <c r="C110" s="123">
        <v>66335</v>
      </c>
      <c r="D110" s="124">
        <v>333118</v>
      </c>
      <c r="E110" s="125">
        <f t="shared" si="10"/>
        <v>399453</v>
      </c>
    </row>
    <row r="111" spans="1:6" ht="15" hidden="1" thickTop="1" thickBot="1" x14ac:dyDescent="0.3">
      <c r="A111" s="6"/>
      <c r="B111" s="7" t="s">
        <v>0</v>
      </c>
      <c r="C111" s="126">
        <f>SUM(C99:C110)</f>
        <v>741842</v>
      </c>
      <c r="D111" s="127">
        <f>SUM(D99:D110)</f>
        <v>3683686</v>
      </c>
      <c r="E111" s="128">
        <f>SUM(E99:E110)</f>
        <v>4425528</v>
      </c>
    </row>
    <row r="112" spans="1:6" ht="13.5" hidden="1" customHeight="1" thickBot="1" x14ac:dyDescent="0.3">
      <c r="A112" s="191"/>
      <c r="B112" s="189"/>
      <c r="C112" s="191"/>
      <c r="D112" s="191"/>
      <c r="E112" s="191"/>
      <c r="F112" s="2"/>
    </row>
    <row r="113" spans="1:6" ht="15" hidden="1" customHeight="1" x14ac:dyDescent="0.25">
      <c r="A113" s="439"/>
      <c r="B113" s="440"/>
      <c r="C113" s="443" t="s">
        <v>13</v>
      </c>
      <c r="D113" s="445" t="s">
        <v>12</v>
      </c>
      <c r="E113" s="447" t="s">
        <v>0</v>
      </c>
      <c r="F113" s="2"/>
    </row>
    <row r="114" spans="1:6" ht="15" hidden="1" customHeight="1" thickBot="1" x14ac:dyDescent="0.3">
      <c r="A114" s="441"/>
      <c r="B114" s="442"/>
      <c r="C114" s="444"/>
      <c r="D114" s="446"/>
      <c r="E114" s="448"/>
      <c r="F114" s="2"/>
    </row>
    <row r="115" spans="1:6" ht="15" hidden="1" customHeight="1" x14ac:dyDescent="0.25">
      <c r="A115" s="449" t="s">
        <v>68</v>
      </c>
      <c r="B115" s="8">
        <v>1</v>
      </c>
      <c r="C115" s="117">
        <v>51426</v>
      </c>
      <c r="D115" s="118">
        <v>287948</v>
      </c>
      <c r="E115" s="119">
        <f t="shared" ref="E115:E126" si="11">C115+D115</f>
        <v>339374</v>
      </c>
      <c r="F115" s="2"/>
    </row>
    <row r="116" spans="1:6" ht="15" hidden="1" customHeight="1" x14ac:dyDescent="0.25">
      <c r="A116" s="450"/>
      <c r="B116" s="9" t="s">
        <v>47</v>
      </c>
      <c r="C116" s="120">
        <v>50200</v>
      </c>
      <c r="D116" s="121">
        <v>262068</v>
      </c>
      <c r="E116" s="122">
        <f t="shared" si="11"/>
        <v>312268</v>
      </c>
      <c r="F116" s="2"/>
    </row>
    <row r="117" spans="1:6" ht="15" hidden="1" customHeight="1" x14ac:dyDescent="0.25">
      <c r="A117" s="450"/>
      <c r="B117" s="9">
        <v>3</v>
      </c>
      <c r="C117" s="120">
        <v>67577</v>
      </c>
      <c r="D117" s="121">
        <v>330170</v>
      </c>
      <c r="E117" s="122">
        <f t="shared" si="11"/>
        <v>397747</v>
      </c>
    </row>
    <row r="118" spans="1:6" ht="15" hidden="1" customHeight="1" x14ac:dyDescent="0.25">
      <c r="A118" s="450"/>
      <c r="B118" s="9" t="s">
        <v>48</v>
      </c>
      <c r="C118" s="120">
        <v>63788</v>
      </c>
      <c r="D118" s="121">
        <v>327995</v>
      </c>
      <c r="E118" s="122">
        <f t="shared" si="11"/>
        <v>391783</v>
      </c>
    </row>
    <row r="119" spans="1:6" ht="15" hidden="1" customHeight="1" x14ac:dyDescent="0.25">
      <c r="A119" s="450"/>
      <c r="B119" s="9" t="s">
        <v>49</v>
      </c>
      <c r="C119" s="120">
        <v>61896</v>
      </c>
      <c r="D119" s="121">
        <v>325610</v>
      </c>
      <c r="E119" s="122">
        <f t="shared" si="11"/>
        <v>387506</v>
      </c>
    </row>
    <row r="120" spans="1:6" ht="15" hidden="1" customHeight="1" x14ac:dyDescent="0.25">
      <c r="A120" s="450"/>
      <c r="B120" s="9" t="s">
        <v>50</v>
      </c>
      <c r="C120" s="120">
        <v>59494</v>
      </c>
      <c r="D120" s="121">
        <v>353358</v>
      </c>
      <c r="E120" s="122">
        <f t="shared" si="11"/>
        <v>412852</v>
      </c>
    </row>
    <row r="121" spans="1:6" ht="15" hidden="1" customHeight="1" x14ac:dyDescent="0.25">
      <c r="A121" s="450"/>
      <c r="B121" s="9" t="s">
        <v>52</v>
      </c>
      <c r="C121" s="120">
        <v>60367</v>
      </c>
      <c r="D121" s="121">
        <v>286498</v>
      </c>
      <c r="E121" s="122">
        <f t="shared" si="11"/>
        <v>346865</v>
      </c>
    </row>
    <row r="122" spans="1:6" ht="15" hidden="1" customHeight="1" x14ac:dyDescent="0.25">
      <c r="A122" s="450"/>
      <c r="B122" s="9" t="s">
        <v>53</v>
      </c>
      <c r="C122" s="120">
        <v>58582</v>
      </c>
      <c r="D122" s="121">
        <v>328303</v>
      </c>
      <c r="E122" s="122">
        <f t="shared" si="11"/>
        <v>386885</v>
      </c>
    </row>
    <row r="123" spans="1:6" ht="15" hidden="1" customHeight="1" x14ac:dyDescent="0.25">
      <c r="A123" s="450"/>
      <c r="B123" s="9" t="s">
        <v>54</v>
      </c>
      <c r="C123" s="120">
        <v>52494</v>
      </c>
      <c r="D123" s="121">
        <v>334982</v>
      </c>
      <c r="E123" s="122">
        <f t="shared" si="11"/>
        <v>387476</v>
      </c>
    </row>
    <row r="124" spans="1:6" ht="15" hidden="1" customHeight="1" x14ac:dyDescent="0.25">
      <c r="A124" s="450"/>
      <c r="B124" s="9" t="s">
        <v>55</v>
      </c>
      <c r="C124" s="120">
        <v>66288</v>
      </c>
      <c r="D124" s="121">
        <v>344037</v>
      </c>
      <c r="E124" s="122">
        <f t="shared" si="11"/>
        <v>410325</v>
      </c>
    </row>
    <row r="125" spans="1:6" ht="15" hidden="1" customHeight="1" x14ac:dyDescent="0.25">
      <c r="A125" s="450"/>
      <c r="B125" s="9" t="s">
        <v>57</v>
      </c>
      <c r="C125" s="120">
        <v>64131</v>
      </c>
      <c r="D125" s="121">
        <v>339237</v>
      </c>
      <c r="E125" s="122">
        <f t="shared" si="11"/>
        <v>403368</v>
      </c>
    </row>
    <row r="126" spans="1:6" ht="15" hidden="1" customHeight="1" thickBot="1" x14ac:dyDescent="0.3">
      <c r="A126" s="451"/>
      <c r="B126" s="10" t="s">
        <v>58</v>
      </c>
      <c r="C126" s="123">
        <v>64835</v>
      </c>
      <c r="D126" s="124">
        <v>347915</v>
      </c>
      <c r="E126" s="125">
        <f t="shared" si="11"/>
        <v>412750</v>
      </c>
    </row>
    <row r="127" spans="1:6" ht="15" hidden="1" thickTop="1" thickBot="1" x14ac:dyDescent="0.3">
      <c r="A127" s="6"/>
      <c r="B127" s="7" t="s">
        <v>0</v>
      </c>
      <c r="C127" s="126">
        <f>SUM(C115:C126)</f>
        <v>721078</v>
      </c>
      <c r="D127" s="127">
        <f>SUM(D115:D126)</f>
        <v>3868121</v>
      </c>
      <c r="E127" s="128">
        <f>SUM(E115:E126)</f>
        <v>4589199</v>
      </c>
    </row>
    <row r="128" spans="1:6" ht="13.5" hidden="1" customHeight="1" thickBot="1" x14ac:dyDescent="0.3">
      <c r="A128" s="2"/>
      <c r="B128" s="3"/>
      <c r="C128" s="2"/>
      <c r="D128" s="2"/>
      <c r="E128" s="2"/>
      <c r="F128" s="2"/>
    </row>
    <row r="129" spans="1:6" ht="13.5" hidden="1" customHeight="1" x14ac:dyDescent="0.25">
      <c r="A129" s="439"/>
      <c r="B129" s="440"/>
      <c r="C129" s="443" t="s">
        <v>13</v>
      </c>
      <c r="D129" s="445" t="s">
        <v>12</v>
      </c>
      <c r="E129" s="447" t="s">
        <v>0</v>
      </c>
      <c r="F129" s="4"/>
    </row>
    <row r="130" spans="1:6" ht="14.5" hidden="1" thickBot="1" x14ac:dyDescent="0.3">
      <c r="A130" s="441"/>
      <c r="B130" s="442"/>
      <c r="C130" s="444"/>
      <c r="D130" s="446"/>
      <c r="E130" s="448"/>
      <c r="F130" s="4"/>
    </row>
    <row r="131" spans="1:6" ht="15" hidden="1" customHeight="1" x14ac:dyDescent="0.25">
      <c r="A131" s="449" t="s">
        <v>59</v>
      </c>
      <c r="B131" s="8">
        <v>1</v>
      </c>
      <c r="C131" s="117">
        <v>45100</v>
      </c>
      <c r="D131" s="118">
        <v>293932</v>
      </c>
      <c r="E131" s="119">
        <f t="shared" ref="E131:E142" si="12">C131+D131</f>
        <v>339032</v>
      </c>
      <c r="F131" s="5"/>
    </row>
    <row r="132" spans="1:6" ht="15" hidden="1" customHeight="1" x14ac:dyDescent="0.25">
      <c r="A132" s="450"/>
      <c r="B132" s="9" t="s">
        <v>47</v>
      </c>
      <c r="C132" s="120">
        <v>53113</v>
      </c>
      <c r="D132" s="121">
        <v>284607</v>
      </c>
      <c r="E132" s="122">
        <f t="shared" si="12"/>
        <v>337720</v>
      </c>
      <c r="F132" s="5"/>
    </row>
    <row r="133" spans="1:6" ht="15" hidden="1" customHeight="1" x14ac:dyDescent="0.25">
      <c r="A133" s="450"/>
      <c r="B133" s="9">
        <v>3</v>
      </c>
      <c r="C133" s="120">
        <v>63765</v>
      </c>
      <c r="D133" s="121">
        <v>326838</v>
      </c>
      <c r="E133" s="122">
        <f t="shared" si="12"/>
        <v>390603</v>
      </c>
      <c r="F133" s="5"/>
    </row>
    <row r="134" spans="1:6" ht="15" hidden="1" customHeight="1" x14ac:dyDescent="0.25">
      <c r="A134" s="450"/>
      <c r="B134" s="9" t="s">
        <v>48</v>
      </c>
      <c r="C134" s="120">
        <v>60361</v>
      </c>
      <c r="D134" s="121">
        <v>291858</v>
      </c>
      <c r="E134" s="122">
        <f t="shared" si="12"/>
        <v>352219</v>
      </c>
      <c r="F134" s="5"/>
    </row>
    <row r="135" spans="1:6" ht="15" hidden="1" customHeight="1" x14ac:dyDescent="0.25">
      <c r="A135" s="450"/>
      <c r="B135" s="9" t="s">
        <v>49</v>
      </c>
      <c r="C135" s="120">
        <v>60607</v>
      </c>
      <c r="D135" s="121">
        <v>305649</v>
      </c>
      <c r="E135" s="122">
        <f t="shared" si="12"/>
        <v>366256</v>
      </c>
      <c r="F135" s="5"/>
    </row>
    <row r="136" spans="1:6" ht="15" hidden="1" customHeight="1" x14ac:dyDescent="0.25">
      <c r="A136" s="450"/>
      <c r="B136" s="9" t="s">
        <v>50</v>
      </c>
      <c r="C136" s="120">
        <v>61837</v>
      </c>
      <c r="D136" s="121">
        <v>297185</v>
      </c>
      <c r="E136" s="122">
        <f t="shared" si="12"/>
        <v>359022</v>
      </c>
      <c r="F136" s="5"/>
    </row>
    <row r="137" spans="1:6" ht="15" hidden="1" customHeight="1" x14ac:dyDescent="0.25">
      <c r="A137" s="450"/>
      <c r="B137" s="9" t="s">
        <v>52</v>
      </c>
      <c r="C137" s="120">
        <v>59614</v>
      </c>
      <c r="D137" s="121">
        <v>303513</v>
      </c>
      <c r="E137" s="122">
        <f t="shared" si="12"/>
        <v>363127</v>
      </c>
      <c r="F137" s="5"/>
    </row>
    <row r="138" spans="1:6" ht="15" hidden="1" customHeight="1" x14ac:dyDescent="0.25">
      <c r="A138" s="450"/>
      <c r="B138" s="9" t="s">
        <v>53</v>
      </c>
      <c r="C138" s="120">
        <v>54560</v>
      </c>
      <c r="D138" s="121">
        <v>297518</v>
      </c>
      <c r="E138" s="122">
        <f t="shared" si="12"/>
        <v>352078</v>
      </c>
      <c r="F138" s="5"/>
    </row>
    <row r="139" spans="1:6" ht="15" hidden="1" customHeight="1" x14ac:dyDescent="0.25">
      <c r="A139" s="450"/>
      <c r="B139" s="9" t="s">
        <v>54</v>
      </c>
      <c r="C139" s="120">
        <v>59714</v>
      </c>
      <c r="D139" s="121">
        <v>352436</v>
      </c>
      <c r="E139" s="122">
        <f t="shared" si="12"/>
        <v>412150</v>
      </c>
      <c r="F139" s="5"/>
    </row>
    <row r="140" spans="1:6" ht="15" hidden="1" customHeight="1" x14ac:dyDescent="0.25">
      <c r="A140" s="450"/>
      <c r="B140" s="9" t="s">
        <v>55</v>
      </c>
      <c r="C140" s="120">
        <v>53012</v>
      </c>
      <c r="D140" s="121">
        <v>351309</v>
      </c>
      <c r="E140" s="122">
        <f t="shared" si="12"/>
        <v>404321</v>
      </c>
      <c r="F140" s="5"/>
    </row>
    <row r="141" spans="1:6" ht="15" hidden="1" customHeight="1" x14ac:dyDescent="0.25">
      <c r="A141" s="450"/>
      <c r="B141" s="9" t="s">
        <v>57</v>
      </c>
      <c r="C141" s="120">
        <v>63895</v>
      </c>
      <c r="D141" s="121">
        <v>357215</v>
      </c>
      <c r="E141" s="122">
        <f t="shared" si="12"/>
        <v>421110</v>
      </c>
      <c r="F141" s="5"/>
    </row>
    <row r="142" spans="1:6" ht="15" hidden="1" customHeight="1" thickBot="1" x14ac:dyDescent="0.3">
      <c r="A142" s="451"/>
      <c r="B142" s="10" t="s">
        <v>58</v>
      </c>
      <c r="C142" s="123">
        <v>53361</v>
      </c>
      <c r="D142" s="124">
        <v>355276</v>
      </c>
      <c r="E142" s="125">
        <f t="shared" si="12"/>
        <v>408637</v>
      </c>
      <c r="F142" s="5"/>
    </row>
    <row r="143" spans="1:6" ht="21.75" hidden="1" customHeight="1" thickTop="1" thickBot="1" x14ac:dyDescent="0.3">
      <c r="A143" s="6"/>
      <c r="B143" s="7" t="s">
        <v>0</v>
      </c>
      <c r="C143" s="126">
        <f>SUM(C131:C142)</f>
        <v>688939</v>
      </c>
      <c r="D143" s="127">
        <f>SUM(D131:D142)</f>
        <v>3817336</v>
      </c>
      <c r="E143" s="128">
        <f>SUM(E131:E142)</f>
        <v>4506275</v>
      </c>
      <c r="F143" s="5"/>
    </row>
    <row r="144" spans="1:6" ht="13.5" hidden="1" customHeight="1" x14ac:dyDescent="0.25">
      <c r="A144" s="2"/>
      <c r="B144" s="3"/>
      <c r="C144" s="2"/>
      <c r="D144" s="2"/>
      <c r="E144" s="2"/>
      <c r="F144" s="2"/>
    </row>
    <row r="145" hidden="1" x14ac:dyDescent="0.25"/>
    <row r="146" hidden="1" x14ac:dyDescent="0.25"/>
    <row r="147" hidden="1" x14ac:dyDescent="0.25"/>
    <row r="148" hidden="1" x14ac:dyDescent="0.25"/>
    <row r="149" hidden="1" x14ac:dyDescent="0.25"/>
  </sheetData>
  <mergeCells count="45">
    <mergeCell ref="C49:C50"/>
    <mergeCell ref="D49:D50"/>
    <mergeCell ref="A129:B130"/>
    <mergeCell ref="D97:D98"/>
    <mergeCell ref="D129:D130"/>
    <mergeCell ref="A115:A126"/>
    <mergeCell ref="D113:D114"/>
    <mergeCell ref="A81:B82"/>
    <mergeCell ref="C81:C82"/>
    <mergeCell ref="A131:A142"/>
    <mergeCell ref="E49:E50"/>
    <mergeCell ref="A51:A62"/>
    <mergeCell ref="E129:E130"/>
    <mergeCell ref="A65:B66"/>
    <mergeCell ref="C65:C66"/>
    <mergeCell ref="D65:D66"/>
    <mergeCell ref="E65:E66"/>
    <mergeCell ref="A67:A78"/>
    <mergeCell ref="E81:E82"/>
    <mergeCell ref="A83:A94"/>
    <mergeCell ref="A113:B114"/>
    <mergeCell ref="A49:B50"/>
    <mergeCell ref="E113:E114"/>
    <mergeCell ref="C129:C130"/>
    <mergeCell ref="C113:C114"/>
    <mergeCell ref="A33:B34"/>
    <mergeCell ref="C33:C34"/>
    <mergeCell ref="D33:D34"/>
    <mergeCell ref="E33:E34"/>
    <mergeCell ref="A35:A46"/>
    <mergeCell ref="E97:E98"/>
    <mergeCell ref="A97:B98"/>
    <mergeCell ref="D81:D82"/>
    <mergeCell ref="A99:A110"/>
    <mergeCell ref="C97:C98"/>
    <mergeCell ref="A17:B18"/>
    <mergeCell ref="C17:C18"/>
    <mergeCell ref="D17:D18"/>
    <mergeCell ref="E17:E18"/>
    <mergeCell ref="A19:A30"/>
    <mergeCell ref="A1:B2"/>
    <mergeCell ref="C1:C2"/>
    <mergeCell ref="D1:D2"/>
    <mergeCell ref="E1:E2"/>
    <mergeCell ref="A3:A14"/>
  </mergeCells>
  <phoneticPr fontId="2" type="noConversion"/>
  <pageMargins left="0.19685039370078741" right="0.19685039370078741" top="0.39370078740157483" bottom="0.39370078740157483" header="0" footer="0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6e251d-2f0f-4957-a946-5fc690cffa4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09ACF2428697643A4CCABBC1110BAC3" ma:contentTypeVersion="14" ma:contentTypeDescription="새 문서를 만듭니다." ma:contentTypeScope="" ma:versionID="1f746fa97bc15131a49fbceb5d7727e7">
  <xsd:schema xmlns:xsd="http://www.w3.org/2001/XMLSchema" xmlns:xs="http://www.w3.org/2001/XMLSchema" xmlns:p="http://schemas.microsoft.com/office/2006/metadata/properties" xmlns:ns3="616e251d-2f0f-4957-a946-5fc690cffa4f" targetNamespace="http://schemas.microsoft.com/office/2006/metadata/properties" ma:root="true" ma:fieldsID="b1c9570bcf408a3d2a3cd26264222668" ns3:_="">
    <xsd:import namespace="616e251d-2f0f-4957-a946-5fc690cffa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6e251d-2f0f-4957-a946-5fc690cff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097E85-078B-48E5-8708-8A4A904DA3AC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C3EB9DFC-08B7-420C-A3BD-AF77702F1A67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616e251d-2f0f-4957-a946-5fc690cffa4f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CEB2637-FC6A-4A78-9119-FD036337D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6e251d-2f0f-4957-a946-5fc690cff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402B97C-1972-4D1F-B770-AF27FB4678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종합</vt:lpstr>
      <vt:lpstr>10월</vt:lpstr>
      <vt:lpstr>내수</vt:lpstr>
      <vt:lpstr>⊙카메라</vt:lpstr>
      <vt:lpstr>⊙카메라!Print_Area</vt:lpstr>
      <vt:lpstr>'10월'!Print_Area</vt:lpstr>
      <vt:lpstr>내수!Print_Area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황하람</dc:creator>
  <cp:lastModifiedBy>이경주 매니저 언론홍보1팀</cp:lastModifiedBy>
  <cp:lastPrinted>2025-02-03T06:12:14Z</cp:lastPrinted>
  <dcterms:created xsi:type="dcterms:W3CDTF">2010-01-21T08:58:48Z</dcterms:created>
  <dcterms:modified xsi:type="dcterms:W3CDTF">2025-11-03T04:22:10Z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0x010100309ACF2428697643A4CCABBC1110BAC3</vt:lpwstr>
  </property>
  <property fmtid="{D5CDD505-2E9C-101B-9397-08002B2CF9AE}" pid="3" name="MSIP_Label_84883e49-c40c-4c70-af6e-4047d87bba49_Enabled">
    <vt:lpwstr>true</vt:lpwstr>
  </property>
  <property fmtid="{D5CDD505-2E9C-101B-9397-08002B2CF9AE}" pid="4" name="MSIP_Label_84883e49-c40c-4c70-af6e-4047d87bba49_SetDate">
    <vt:lpwstr>2024-10-01T23:38:23Z</vt:lpwstr>
  </property>
  <property fmtid="{D5CDD505-2E9C-101B-9397-08002B2CF9AE}" pid="5" name="MSIP_Label_84883e49-c40c-4c70-af6e-4047d87bba49_Method">
    <vt:lpwstr>Privileged</vt:lpwstr>
  </property>
  <property fmtid="{D5CDD505-2E9C-101B-9397-08002B2CF9AE}" pid="6" name="MSIP_Label_84883e49-c40c-4c70-af6e-4047d87bba49_Name">
    <vt:lpwstr>평문 (AnyUser)</vt:lpwstr>
  </property>
  <property fmtid="{D5CDD505-2E9C-101B-9397-08002B2CF9AE}" pid="7" name="MSIP_Label_84883e49-c40c-4c70-af6e-4047d87bba49_SiteId">
    <vt:lpwstr>f85ca5f1-aa23-4252-a83a-443d333b1fe7</vt:lpwstr>
  </property>
  <property fmtid="{D5CDD505-2E9C-101B-9397-08002B2CF9AE}" pid="8" name="MSIP_Label_84883e49-c40c-4c70-af6e-4047d87bba49_ActionId">
    <vt:lpwstr>df3bf3b0-e303-4e40-8152-4e3af79fd16c</vt:lpwstr>
  </property>
  <property fmtid="{D5CDD505-2E9C-101B-9397-08002B2CF9AE}" pid="9" name="MSIP_Label_84883e49-c40c-4c70-af6e-4047d87bba49_ContentBits">
    <vt:lpwstr>2</vt:lpwstr>
  </property>
</Properties>
</file>