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one_tiger_hyundai_com/Documents/바탕 화면/원범/3. 판매실적/월별 판매실적/2025년/10월/"/>
    </mc:Choice>
  </mc:AlternateContent>
  <xr:revisionPtr revIDLastSave="87" documentId="8_{BB170898-89D5-49EC-90B8-619F7F4AA56D}" xr6:coauthVersionLast="47" xr6:coauthVersionMax="47" xr10:uidLastSave="{72A87243-F719-4241-8C56-7A24EC51413E}"/>
  <bookViews>
    <workbookView xWindow="-120" yWindow="-16320" windowWidth="29040" windowHeight="15840" activeTab="1" xr2:uid="{00000000-000D-0000-FFFF-FFFF00000000}"/>
  </bookViews>
  <sheets>
    <sheet name="종합" sheetId="1" r:id="rId1"/>
    <sheet name="국내1" sheetId="2" r:id="rId2"/>
    <sheet name="국내2" sheetId="3" r:id="rId3"/>
    <sheet name="⊙ 월별" sheetId="4" r:id="rId4"/>
  </sheets>
  <definedNames>
    <definedName name="_xlnm.Print_Area" localSheetId="3">'⊙ 월별'!$A$1:$K$31</definedName>
    <definedName name="_xlnm.Print_Area" localSheetId="1">국내1!$A$1:$L$87</definedName>
    <definedName name="_xlnm.Print_Area" localSheetId="2">국내2!$B$1:$T$66</definedName>
    <definedName name="_xlnm.Print_Area" localSheetId="0">종합!$A$2:$L$47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7" i="2" l="1"/>
  <c r="I62" i="2"/>
  <c r="I61" i="2"/>
  <c r="I16" i="2"/>
  <c r="L20" i="2"/>
  <c r="L83" i="2"/>
  <c r="L77" i="2"/>
  <c r="L74" i="2"/>
  <c r="L71" i="2"/>
  <c r="L52" i="2"/>
  <c r="L49" i="2"/>
  <c r="L46" i="2"/>
  <c r="L43" i="2"/>
  <c r="L36" i="2"/>
  <c r="L35" i="2"/>
  <c r="L31" i="2"/>
  <c r="L32" i="2"/>
  <c r="L28" i="2"/>
  <c r="L27" i="2"/>
  <c r="L23" i="2"/>
  <c r="L22" i="2"/>
  <c r="L21" i="2"/>
  <c r="L19" i="2"/>
  <c r="L18" i="2"/>
  <c r="L17" i="2"/>
  <c r="L15" i="2"/>
  <c r="L14" i="2"/>
  <c r="L12" i="2"/>
  <c r="L11" i="2"/>
  <c r="L10" i="2"/>
  <c r="L8" i="2"/>
  <c r="L7" i="2"/>
  <c r="L6" i="2"/>
  <c r="E49" i="2"/>
  <c r="E46" i="2"/>
  <c r="E43" i="2"/>
  <c r="E71" i="2"/>
  <c r="E74" i="2"/>
  <c r="E77" i="2"/>
  <c r="E83" i="2"/>
  <c r="L64" i="3"/>
  <c r="L12" i="3"/>
  <c r="P37" i="3"/>
  <c r="P15" i="3"/>
  <c r="E16" i="2"/>
  <c r="F16" i="2" s="1"/>
  <c r="J16" i="2" l="1"/>
  <c r="K16" i="2" s="1"/>
  <c r="E61" i="2"/>
  <c r="G16" i="2"/>
  <c r="L62" i="2"/>
  <c r="J62" i="2" l="1"/>
  <c r="J61" i="2"/>
  <c r="P26" i="3"/>
  <c r="J27" i="2" s="1"/>
  <c r="J82" i="2" s="1"/>
  <c r="L82" i="2"/>
  <c r="H27" i="2"/>
  <c r="H82" i="2" s="1"/>
  <c r="E27" i="2"/>
  <c r="E64" i="3"/>
  <c r="F64" i="3"/>
  <c r="G64" i="3"/>
  <c r="H64" i="3"/>
  <c r="I64" i="3"/>
  <c r="J64" i="3"/>
  <c r="K64" i="3"/>
  <c r="D64" i="3"/>
  <c r="K56" i="3"/>
  <c r="E82" i="2" l="1"/>
  <c r="K27" i="2"/>
  <c r="F27" i="2"/>
  <c r="L58" i="2" l="1"/>
  <c r="E9" i="2"/>
  <c r="E15" i="2"/>
  <c r="H15" i="2"/>
  <c r="P8" i="3"/>
  <c r="J9" i="2" s="1"/>
  <c r="J58" i="2" l="1"/>
  <c r="K9" i="2"/>
  <c r="F15" i="2"/>
  <c r="E58" i="2"/>
  <c r="F9" i="2"/>
  <c r="L59" i="2" l="1"/>
  <c r="H59" i="2"/>
  <c r="G24" i="3"/>
  <c r="H24" i="3"/>
  <c r="I24" i="3"/>
  <c r="J24" i="3"/>
  <c r="K24" i="3"/>
  <c r="L24" i="3"/>
  <c r="M24" i="3"/>
  <c r="N24" i="3"/>
  <c r="O24" i="3"/>
  <c r="E24" i="2"/>
  <c r="F24" i="2" s="1"/>
  <c r="F47" i="3"/>
  <c r="F24" i="3" l="1"/>
  <c r="P23" i="3"/>
  <c r="J24" i="2" s="1"/>
  <c r="K24" i="2" s="1"/>
  <c r="E24" i="3"/>
  <c r="D24" i="3"/>
  <c r="L55" i="2"/>
  <c r="L56" i="2" s="1"/>
  <c r="D9" i="1"/>
  <c r="D7" i="1"/>
  <c r="H32" i="2" l="1"/>
  <c r="H31" i="2"/>
  <c r="H28" i="2"/>
  <c r="H55" i="2"/>
  <c r="H56" i="2" s="1"/>
  <c r="H17" i="2"/>
  <c r="H18" i="2"/>
  <c r="H19" i="2"/>
  <c r="H20" i="2"/>
  <c r="H21" i="2"/>
  <c r="H22" i="2"/>
  <c r="H23" i="2"/>
  <c r="H14" i="2"/>
  <c r="H7" i="2"/>
  <c r="H42" i="2" s="1"/>
  <c r="H8" i="2"/>
  <c r="H10" i="2"/>
  <c r="H11" i="2"/>
  <c r="H12" i="2"/>
  <c r="H6" i="2"/>
  <c r="E36" i="2"/>
  <c r="E35" i="2"/>
  <c r="E31" i="2"/>
  <c r="E28" i="2"/>
  <c r="E26" i="2"/>
  <c r="E79" i="2" s="1"/>
  <c r="E80" i="2" s="1"/>
  <c r="E17" i="2"/>
  <c r="E18" i="2"/>
  <c r="E19" i="2"/>
  <c r="E20" i="2"/>
  <c r="E21" i="2"/>
  <c r="E22" i="2"/>
  <c r="E23" i="2"/>
  <c r="E14" i="2"/>
  <c r="E7" i="2"/>
  <c r="E8" i="2"/>
  <c r="E10" i="2"/>
  <c r="E11" i="2"/>
  <c r="E12" i="2"/>
  <c r="E6" i="2"/>
  <c r="F61" i="2" l="1"/>
  <c r="E62" i="2"/>
  <c r="F80" i="2"/>
  <c r="E59" i="2"/>
  <c r="F58" i="2"/>
  <c r="E25" i="2"/>
  <c r="G15" i="4"/>
  <c r="F15" i="4"/>
  <c r="H14" i="4"/>
  <c r="H13" i="4"/>
  <c r="H12" i="4"/>
  <c r="H11" i="4"/>
  <c r="H10" i="4"/>
  <c r="H9" i="4"/>
  <c r="H8" i="4"/>
  <c r="H7" i="4"/>
  <c r="H6" i="4"/>
  <c r="H5" i="4"/>
  <c r="H4" i="4"/>
  <c r="H3" i="4"/>
  <c r="P66" i="3"/>
  <c r="J83" i="2" s="1"/>
  <c r="O64" i="3"/>
  <c r="O65" i="3" s="1"/>
  <c r="N64" i="3"/>
  <c r="N65" i="3" s="1"/>
  <c r="M64" i="3"/>
  <c r="M65" i="3" s="1"/>
  <c r="L65" i="3"/>
  <c r="K65" i="3"/>
  <c r="J65" i="3"/>
  <c r="I65" i="3"/>
  <c r="H65" i="3"/>
  <c r="G65" i="3"/>
  <c r="F65" i="3"/>
  <c r="E65" i="3"/>
  <c r="D65" i="3"/>
  <c r="P63" i="3"/>
  <c r="P62" i="3"/>
  <c r="J77" i="2" s="1"/>
  <c r="O60" i="3"/>
  <c r="O61" i="3" s="1"/>
  <c r="N60" i="3"/>
  <c r="N61" i="3" s="1"/>
  <c r="M60" i="3"/>
  <c r="M61" i="3" s="1"/>
  <c r="L60" i="3"/>
  <c r="L61" i="3" s="1"/>
  <c r="K60" i="3"/>
  <c r="K61" i="3" s="1"/>
  <c r="J60" i="3"/>
  <c r="J61" i="3" s="1"/>
  <c r="I60" i="3"/>
  <c r="I61" i="3" s="1"/>
  <c r="H60" i="3"/>
  <c r="H61" i="3" s="1"/>
  <c r="G60" i="3"/>
  <c r="G61" i="3" s="1"/>
  <c r="F60" i="3"/>
  <c r="F61" i="3" s="1"/>
  <c r="E60" i="3"/>
  <c r="E61" i="3" s="1"/>
  <c r="D60" i="3"/>
  <c r="P58" i="3"/>
  <c r="J74" i="2" s="1"/>
  <c r="O56" i="3"/>
  <c r="O57" i="3" s="1"/>
  <c r="N56" i="3"/>
  <c r="N57" i="3" s="1"/>
  <c r="M56" i="3"/>
  <c r="M57" i="3" s="1"/>
  <c r="L56" i="3"/>
  <c r="L57" i="3" s="1"/>
  <c r="K57" i="3"/>
  <c r="J56" i="3"/>
  <c r="J57" i="3" s="1"/>
  <c r="I56" i="3"/>
  <c r="I57" i="3" s="1"/>
  <c r="H56" i="3"/>
  <c r="H57" i="3" s="1"/>
  <c r="G56" i="3"/>
  <c r="G57" i="3" s="1"/>
  <c r="F56" i="3"/>
  <c r="F57" i="3" s="1"/>
  <c r="E56" i="3"/>
  <c r="E57" i="3" s="1"/>
  <c r="D56" i="3"/>
  <c r="D57" i="3" s="1"/>
  <c r="P54" i="3"/>
  <c r="J71" i="2" s="1"/>
  <c r="O52" i="3"/>
  <c r="O53" i="3" s="1"/>
  <c r="N52" i="3"/>
  <c r="N53" i="3" s="1"/>
  <c r="M52" i="3"/>
  <c r="M53" i="3" s="1"/>
  <c r="L52" i="3"/>
  <c r="L53" i="3" s="1"/>
  <c r="K52" i="3"/>
  <c r="K53" i="3" s="1"/>
  <c r="J52" i="3"/>
  <c r="J53" i="3" s="1"/>
  <c r="I52" i="3"/>
  <c r="I53" i="3" s="1"/>
  <c r="H52" i="3"/>
  <c r="H53" i="3" s="1"/>
  <c r="G52" i="3"/>
  <c r="G53" i="3" s="1"/>
  <c r="F52" i="3"/>
  <c r="F53" i="3" s="1"/>
  <c r="E52" i="3"/>
  <c r="E53" i="3" s="1"/>
  <c r="D52" i="3"/>
  <c r="P50" i="3"/>
  <c r="P49" i="3"/>
  <c r="O47" i="3"/>
  <c r="O48" i="3" s="1"/>
  <c r="N47" i="3"/>
  <c r="N48" i="3" s="1"/>
  <c r="M47" i="3"/>
  <c r="M48" i="3" s="1"/>
  <c r="E52" i="2" s="1"/>
  <c r="L47" i="3"/>
  <c r="L48" i="3" s="1"/>
  <c r="K47" i="3"/>
  <c r="K48" i="3" s="1"/>
  <c r="J47" i="3"/>
  <c r="J48" i="3" s="1"/>
  <c r="I47" i="3"/>
  <c r="I48" i="3" s="1"/>
  <c r="H47" i="3"/>
  <c r="H48" i="3" s="1"/>
  <c r="G47" i="3"/>
  <c r="G48" i="3" s="1"/>
  <c r="E47" i="3"/>
  <c r="E48" i="3" s="1"/>
  <c r="D47" i="3"/>
  <c r="D48" i="3" s="1"/>
  <c r="P45" i="3"/>
  <c r="J49" i="2" s="1"/>
  <c r="O43" i="3"/>
  <c r="O44" i="3" s="1"/>
  <c r="N43" i="3"/>
  <c r="N44" i="3" s="1"/>
  <c r="M43" i="3"/>
  <c r="M44" i="3" s="1"/>
  <c r="L43" i="3"/>
  <c r="L44" i="3" s="1"/>
  <c r="K43" i="3"/>
  <c r="K44" i="3" s="1"/>
  <c r="J43" i="3"/>
  <c r="J44" i="3" s="1"/>
  <c r="I43" i="3"/>
  <c r="I44" i="3" s="1"/>
  <c r="H43" i="3"/>
  <c r="H44" i="3" s="1"/>
  <c r="G43" i="3"/>
  <c r="G44" i="3" s="1"/>
  <c r="F43" i="3"/>
  <c r="F44" i="3" s="1"/>
  <c r="E43" i="3"/>
  <c r="E44" i="3" s="1"/>
  <c r="D43" i="3"/>
  <c r="D44" i="3" s="1"/>
  <c r="P41" i="3"/>
  <c r="J46" i="2" s="1"/>
  <c r="O39" i="3"/>
  <c r="O40" i="3" s="1"/>
  <c r="N39" i="3"/>
  <c r="N40" i="3" s="1"/>
  <c r="M39" i="3"/>
  <c r="M40" i="3" s="1"/>
  <c r="L39" i="3"/>
  <c r="L40" i="3" s="1"/>
  <c r="K39" i="3"/>
  <c r="K40" i="3" s="1"/>
  <c r="J39" i="3"/>
  <c r="J40" i="3" s="1"/>
  <c r="I39" i="3"/>
  <c r="I40" i="3" s="1"/>
  <c r="H39" i="3"/>
  <c r="H40" i="3" s="1"/>
  <c r="G39" i="3"/>
  <c r="G40" i="3" s="1"/>
  <c r="F39" i="3"/>
  <c r="F40" i="3" s="1"/>
  <c r="E39" i="3"/>
  <c r="E40" i="3" s="1"/>
  <c r="D39" i="3"/>
  <c r="D40" i="3" s="1"/>
  <c r="J43" i="2"/>
  <c r="O35" i="3"/>
  <c r="O36" i="3" s="1"/>
  <c r="N35" i="3"/>
  <c r="N36" i="3" s="1"/>
  <c r="M35" i="3"/>
  <c r="M36" i="3" s="1"/>
  <c r="L35" i="3"/>
  <c r="L36" i="3" s="1"/>
  <c r="K35" i="3"/>
  <c r="K36" i="3" s="1"/>
  <c r="J35" i="3"/>
  <c r="J36" i="3" s="1"/>
  <c r="I35" i="3"/>
  <c r="I36" i="3" s="1"/>
  <c r="H35" i="3"/>
  <c r="H36" i="3" s="1"/>
  <c r="G35" i="3"/>
  <c r="G36" i="3" s="1"/>
  <c r="F35" i="3"/>
  <c r="F36" i="3" s="1"/>
  <c r="E35" i="3"/>
  <c r="E36" i="3" s="1"/>
  <c r="D35" i="3"/>
  <c r="D36" i="3" s="1"/>
  <c r="O32" i="3"/>
  <c r="D14" i="4" s="1"/>
  <c r="J14" i="4" s="1"/>
  <c r="N32" i="3"/>
  <c r="D13" i="4" s="1"/>
  <c r="J13" i="4" s="1"/>
  <c r="M32" i="3"/>
  <c r="D12" i="4" s="1"/>
  <c r="J12" i="4" s="1"/>
  <c r="L32" i="3"/>
  <c r="D11" i="4" s="1"/>
  <c r="J11" i="4" s="1"/>
  <c r="K32" i="3"/>
  <c r="J10" i="4" s="1"/>
  <c r="J32" i="3"/>
  <c r="D9" i="4" s="1"/>
  <c r="J9" i="4" s="1"/>
  <c r="I32" i="3"/>
  <c r="D8" i="4" s="1"/>
  <c r="J8" i="4" s="1"/>
  <c r="H32" i="3"/>
  <c r="D7" i="4" s="1"/>
  <c r="G32" i="3"/>
  <c r="D6" i="4" s="1"/>
  <c r="J6" i="4" s="1"/>
  <c r="F32" i="3"/>
  <c r="J5" i="4" s="1"/>
  <c r="E32" i="3"/>
  <c r="D4" i="4" s="1"/>
  <c r="J4" i="4" s="1"/>
  <c r="D32" i="3"/>
  <c r="D3" i="4" s="1"/>
  <c r="P31" i="3"/>
  <c r="J32" i="2" s="1"/>
  <c r="P30" i="3"/>
  <c r="J31" i="2" s="1"/>
  <c r="O28" i="3"/>
  <c r="N28" i="3"/>
  <c r="M28" i="3"/>
  <c r="L28" i="3"/>
  <c r="K28" i="3"/>
  <c r="J28" i="3"/>
  <c r="I28" i="3"/>
  <c r="H28" i="3"/>
  <c r="G28" i="3"/>
  <c r="F28" i="3"/>
  <c r="E28" i="3"/>
  <c r="D28" i="3"/>
  <c r="P27" i="3"/>
  <c r="J28" i="2" s="1"/>
  <c r="P25" i="3"/>
  <c r="P22" i="3"/>
  <c r="J23" i="2" s="1"/>
  <c r="P21" i="3"/>
  <c r="J22" i="2" s="1"/>
  <c r="P20" i="3"/>
  <c r="J21" i="2" s="1"/>
  <c r="P19" i="3"/>
  <c r="J20" i="2" s="1"/>
  <c r="P18" i="3"/>
  <c r="J19" i="2" s="1"/>
  <c r="P17" i="3"/>
  <c r="J18" i="2" s="1"/>
  <c r="P16" i="3"/>
  <c r="J17" i="2" s="1"/>
  <c r="P14" i="3"/>
  <c r="J15" i="2" s="1"/>
  <c r="P13" i="3"/>
  <c r="O12" i="3"/>
  <c r="N12" i="3"/>
  <c r="M12" i="3"/>
  <c r="K12" i="3"/>
  <c r="J12" i="3"/>
  <c r="I12" i="3"/>
  <c r="H12" i="3"/>
  <c r="G12" i="3"/>
  <c r="F12" i="3"/>
  <c r="E12" i="3"/>
  <c r="D12" i="3"/>
  <c r="P11" i="3"/>
  <c r="J12" i="2" s="1"/>
  <c r="P10" i="3"/>
  <c r="P9" i="3"/>
  <c r="P7" i="3"/>
  <c r="J8" i="2" s="1"/>
  <c r="P6" i="3"/>
  <c r="J7" i="2" s="1"/>
  <c r="P5" i="3"/>
  <c r="H73" i="1"/>
  <c r="D26" i="4"/>
  <c r="L95" i="3"/>
  <c r="D27" i="4" s="1"/>
  <c r="J26" i="2" l="1"/>
  <c r="J79" i="2" s="1"/>
  <c r="J80" i="2" s="1"/>
  <c r="P28" i="3"/>
  <c r="P12" i="3"/>
  <c r="P24" i="3"/>
  <c r="F62" i="2"/>
  <c r="K15" i="2"/>
  <c r="K80" i="2"/>
  <c r="K79" i="2"/>
  <c r="F79" i="2"/>
  <c r="J6" i="2"/>
  <c r="F59" i="2"/>
  <c r="K58" i="2"/>
  <c r="J59" i="2"/>
  <c r="J14" i="2"/>
  <c r="E29" i="3"/>
  <c r="I9" i="1"/>
  <c r="J36" i="2"/>
  <c r="I7" i="1"/>
  <c r="J35" i="2"/>
  <c r="J3" i="4"/>
  <c r="D8" i="1"/>
  <c r="D29" i="3"/>
  <c r="C3" i="4" s="1"/>
  <c r="P43" i="3"/>
  <c r="J11" i="2"/>
  <c r="P39" i="3"/>
  <c r="J10" i="2"/>
  <c r="P52" i="3"/>
  <c r="N29" i="3"/>
  <c r="C13" i="4" s="1"/>
  <c r="I13" i="4" s="1"/>
  <c r="K13" i="4" s="1"/>
  <c r="P35" i="3"/>
  <c r="O29" i="3"/>
  <c r="C14" i="4" s="1"/>
  <c r="I14" i="4" s="1"/>
  <c r="K14" i="4" s="1"/>
  <c r="E33" i="3"/>
  <c r="D15" i="4"/>
  <c r="I8" i="1" s="1"/>
  <c r="P32" i="3"/>
  <c r="H15" i="4"/>
  <c r="J7" i="4"/>
  <c r="F33" i="3"/>
  <c r="K33" i="3"/>
  <c r="N33" i="3"/>
  <c r="F29" i="3"/>
  <c r="C5" i="4" s="1"/>
  <c r="I5" i="4" s="1"/>
  <c r="K5" i="4" s="1"/>
  <c r="H29" i="3"/>
  <c r="C7" i="4" s="1"/>
  <c r="I7" i="4" s="1"/>
  <c r="G33" i="3"/>
  <c r="J33" i="3"/>
  <c r="P60" i="3"/>
  <c r="K29" i="3"/>
  <c r="C10" i="4" s="1"/>
  <c r="I10" i="4" s="1"/>
  <c r="K10" i="4" s="1"/>
  <c r="D53" i="3"/>
  <c r="P53" i="3" s="1"/>
  <c r="I33" i="3"/>
  <c r="L29" i="3"/>
  <c r="C11" i="4" s="1"/>
  <c r="I11" i="4" s="1"/>
  <c r="K11" i="4" s="1"/>
  <c r="M29" i="3"/>
  <c r="C12" i="4" s="1"/>
  <c r="I12" i="4" s="1"/>
  <c r="K12" i="4" s="1"/>
  <c r="P47" i="3"/>
  <c r="L33" i="3"/>
  <c r="M33" i="3"/>
  <c r="O33" i="3"/>
  <c r="G29" i="3"/>
  <c r="C6" i="4" s="1"/>
  <c r="E6" i="4" s="1"/>
  <c r="H33" i="3"/>
  <c r="P36" i="3"/>
  <c r="P65" i="3"/>
  <c r="P40" i="3"/>
  <c r="P44" i="3"/>
  <c r="P57" i="3"/>
  <c r="I29" i="3"/>
  <c r="C8" i="4" s="1"/>
  <c r="I8" i="4" s="1"/>
  <c r="K8" i="4" s="1"/>
  <c r="F48" i="3"/>
  <c r="D61" i="3"/>
  <c r="P61" i="3" s="1"/>
  <c r="P64" i="3"/>
  <c r="J29" i="3"/>
  <c r="C9" i="4" s="1"/>
  <c r="I9" i="4" s="1"/>
  <c r="K9" i="4" s="1"/>
  <c r="D33" i="3"/>
  <c r="P56" i="3"/>
  <c r="K59" i="2" l="1"/>
  <c r="P33" i="3"/>
  <c r="P29" i="3"/>
  <c r="J25" i="2"/>
  <c r="J15" i="4"/>
  <c r="J13" i="2"/>
  <c r="P48" i="3"/>
  <c r="J52" i="2" s="1"/>
  <c r="E14" i="4"/>
  <c r="C4" i="4"/>
  <c r="I4" i="4" s="1"/>
  <c r="K4" i="4" s="1"/>
  <c r="E10" i="4"/>
  <c r="I6" i="4"/>
  <c r="K6" i="4" s="1"/>
  <c r="E12" i="4"/>
  <c r="E9" i="4"/>
  <c r="D6" i="1"/>
  <c r="E3" i="4"/>
  <c r="I3" i="4"/>
  <c r="E8" i="4"/>
  <c r="E11" i="4"/>
  <c r="E13" i="4"/>
  <c r="E7" i="4"/>
  <c r="E5" i="4"/>
  <c r="K7" i="4"/>
  <c r="E55" i="2"/>
  <c r="P80" i="3"/>
  <c r="J55" i="2" s="1"/>
  <c r="E4" i="4" l="1"/>
  <c r="E15" i="4" s="1"/>
  <c r="K61" i="2"/>
  <c r="K62" i="2"/>
  <c r="C15" i="4"/>
  <c r="I6" i="1" s="1"/>
  <c r="I15" i="4"/>
  <c r="K3" i="4"/>
  <c r="K15" i="4" s="1"/>
  <c r="P76" i="3"/>
  <c r="H76" i="2" l="1"/>
  <c r="P129" i="3"/>
  <c r="O127" i="3"/>
  <c r="O128" i="3" s="1"/>
  <c r="N127" i="3"/>
  <c r="N128" i="3" s="1"/>
  <c r="M127" i="3"/>
  <c r="M128" i="3" s="1"/>
  <c r="L127" i="3"/>
  <c r="L128" i="3" s="1"/>
  <c r="K127" i="3"/>
  <c r="K128" i="3" s="1"/>
  <c r="J127" i="3"/>
  <c r="J128" i="3" s="1"/>
  <c r="I127" i="3"/>
  <c r="I128" i="3" s="1"/>
  <c r="H127" i="3"/>
  <c r="H128" i="3" s="1"/>
  <c r="G127" i="3"/>
  <c r="G128" i="3" s="1"/>
  <c r="F127" i="3"/>
  <c r="F128" i="3" s="1"/>
  <c r="E127" i="3"/>
  <c r="E128" i="3" s="1"/>
  <c r="D127" i="3"/>
  <c r="D128" i="3" s="1"/>
  <c r="P126" i="3"/>
  <c r="P125" i="3"/>
  <c r="O123" i="3"/>
  <c r="O124" i="3" s="1"/>
  <c r="N123" i="3"/>
  <c r="N124" i="3" s="1"/>
  <c r="M123" i="3"/>
  <c r="M124" i="3" s="1"/>
  <c r="L123" i="3"/>
  <c r="L124" i="3" s="1"/>
  <c r="K123" i="3"/>
  <c r="K124" i="3" s="1"/>
  <c r="J123" i="3"/>
  <c r="J124" i="3" s="1"/>
  <c r="I123" i="3"/>
  <c r="I124" i="3" s="1"/>
  <c r="H123" i="3"/>
  <c r="H124" i="3" s="1"/>
  <c r="G123" i="3"/>
  <c r="G124" i="3" s="1"/>
  <c r="F123" i="3"/>
  <c r="F124" i="3" s="1"/>
  <c r="E123" i="3"/>
  <c r="E124" i="3" s="1"/>
  <c r="D123" i="3"/>
  <c r="D124" i="3" s="1"/>
  <c r="P121" i="3"/>
  <c r="O119" i="3"/>
  <c r="O120" i="3" s="1"/>
  <c r="N119" i="3"/>
  <c r="N120" i="3" s="1"/>
  <c r="M119" i="3"/>
  <c r="M120" i="3" s="1"/>
  <c r="L119" i="3"/>
  <c r="L120" i="3" s="1"/>
  <c r="K119" i="3"/>
  <c r="K120" i="3" s="1"/>
  <c r="J119" i="3"/>
  <c r="J120" i="3" s="1"/>
  <c r="I119" i="3"/>
  <c r="I120" i="3" s="1"/>
  <c r="H119" i="3"/>
  <c r="G119" i="3"/>
  <c r="G120" i="3" s="1"/>
  <c r="F119" i="3"/>
  <c r="F120" i="3" s="1"/>
  <c r="E119" i="3"/>
  <c r="D119" i="3"/>
  <c r="D120" i="3" s="1"/>
  <c r="P117" i="3"/>
  <c r="O115" i="3"/>
  <c r="O116" i="3" s="1"/>
  <c r="N115" i="3"/>
  <c r="N116" i="3" s="1"/>
  <c r="M115" i="3"/>
  <c r="M116" i="3" s="1"/>
  <c r="L115" i="3"/>
  <c r="L116" i="3" s="1"/>
  <c r="K115" i="3"/>
  <c r="K116" i="3" s="1"/>
  <c r="J115" i="3"/>
  <c r="J116" i="3" s="1"/>
  <c r="I115" i="3"/>
  <c r="I116" i="3" s="1"/>
  <c r="H115" i="3"/>
  <c r="H116" i="3" s="1"/>
  <c r="G115" i="3"/>
  <c r="G116" i="3" s="1"/>
  <c r="F115" i="3"/>
  <c r="F116" i="3" s="1"/>
  <c r="E115" i="3"/>
  <c r="E116" i="3" s="1"/>
  <c r="D115" i="3"/>
  <c r="D116" i="3" s="1"/>
  <c r="P113" i="3"/>
  <c r="P112" i="3"/>
  <c r="O110" i="3"/>
  <c r="N110" i="3"/>
  <c r="N111" i="3" s="1"/>
  <c r="M110" i="3"/>
  <c r="M111" i="3" s="1"/>
  <c r="L110" i="3"/>
  <c r="L111" i="3" s="1"/>
  <c r="K110" i="3"/>
  <c r="K111" i="3" s="1"/>
  <c r="J110" i="3"/>
  <c r="J111" i="3" s="1"/>
  <c r="I110" i="3"/>
  <c r="I111" i="3" s="1"/>
  <c r="H110" i="3"/>
  <c r="H111" i="3" s="1"/>
  <c r="G110" i="3"/>
  <c r="G111" i="3" s="1"/>
  <c r="F110" i="3"/>
  <c r="F111" i="3" s="1"/>
  <c r="E110" i="3"/>
  <c r="E111" i="3" s="1"/>
  <c r="D110" i="3"/>
  <c r="D111" i="3" s="1"/>
  <c r="P108" i="3"/>
  <c r="O106" i="3"/>
  <c r="O107" i="3" s="1"/>
  <c r="N106" i="3"/>
  <c r="N107" i="3" s="1"/>
  <c r="M106" i="3"/>
  <c r="M107" i="3" s="1"/>
  <c r="L106" i="3"/>
  <c r="L107" i="3" s="1"/>
  <c r="K106" i="3"/>
  <c r="K107" i="3" s="1"/>
  <c r="J106" i="3"/>
  <c r="J107" i="3" s="1"/>
  <c r="I106" i="3"/>
  <c r="I107" i="3" s="1"/>
  <c r="H106" i="3"/>
  <c r="H107" i="3" s="1"/>
  <c r="G106" i="3"/>
  <c r="G107" i="3" s="1"/>
  <c r="F106" i="3"/>
  <c r="F107" i="3" s="1"/>
  <c r="E106" i="3"/>
  <c r="E107" i="3" s="1"/>
  <c r="D106" i="3"/>
  <c r="D107" i="3" s="1"/>
  <c r="P104" i="3"/>
  <c r="O102" i="3"/>
  <c r="O103" i="3" s="1"/>
  <c r="N102" i="3"/>
  <c r="N103" i="3" s="1"/>
  <c r="M102" i="3"/>
  <c r="M103" i="3" s="1"/>
  <c r="L102" i="3"/>
  <c r="L103" i="3" s="1"/>
  <c r="K102" i="3"/>
  <c r="K103" i="3" s="1"/>
  <c r="J102" i="3"/>
  <c r="J103" i="3" s="1"/>
  <c r="I102" i="3"/>
  <c r="I103" i="3" s="1"/>
  <c r="H102" i="3"/>
  <c r="H103" i="3" s="1"/>
  <c r="G102" i="3"/>
  <c r="G103" i="3" s="1"/>
  <c r="F102" i="3"/>
  <c r="F103" i="3" s="1"/>
  <c r="E102" i="3"/>
  <c r="E103" i="3" s="1"/>
  <c r="D102" i="3"/>
  <c r="D103" i="3" s="1"/>
  <c r="P100" i="3"/>
  <c r="O98" i="3"/>
  <c r="O99" i="3" s="1"/>
  <c r="N98" i="3"/>
  <c r="N99" i="3" s="1"/>
  <c r="M98" i="3"/>
  <c r="M99" i="3" s="1"/>
  <c r="L98" i="3"/>
  <c r="L99" i="3" s="1"/>
  <c r="K98" i="3"/>
  <c r="K99" i="3" s="1"/>
  <c r="J98" i="3"/>
  <c r="J99" i="3" s="1"/>
  <c r="I98" i="3"/>
  <c r="I99" i="3" s="1"/>
  <c r="H98" i="3"/>
  <c r="H99" i="3" s="1"/>
  <c r="G98" i="3"/>
  <c r="G99" i="3" s="1"/>
  <c r="F98" i="3"/>
  <c r="F99" i="3" s="1"/>
  <c r="E98" i="3"/>
  <c r="E99" i="3" s="1"/>
  <c r="D98" i="3"/>
  <c r="D99" i="3" s="1"/>
  <c r="O95" i="3"/>
  <c r="D30" i="4" s="1"/>
  <c r="N95" i="3"/>
  <c r="D29" i="4" s="1"/>
  <c r="M95" i="3"/>
  <c r="D28" i="4" s="1"/>
  <c r="K95" i="3"/>
  <c r="J95" i="3"/>
  <c r="D25" i="4" s="1"/>
  <c r="I95" i="3"/>
  <c r="D24" i="4" s="1"/>
  <c r="H95" i="3"/>
  <c r="D23" i="4" s="1"/>
  <c r="J23" i="4" s="1"/>
  <c r="G95" i="3"/>
  <c r="D22" i="4" s="1"/>
  <c r="F95" i="3"/>
  <c r="D21" i="4" s="1"/>
  <c r="E95" i="3"/>
  <c r="D20" i="4" s="1"/>
  <c r="D95" i="3"/>
  <c r="D19" i="4" s="1"/>
  <c r="P94" i="3"/>
  <c r="P93" i="3"/>
  <c r="O91" i="3"/>
  <c r="N91" i="3"/>
  <c r="M91" i="3"/>
  <c r="L91" i="3"/>
  <c r="K91" i="3"/>
  <c r="J91" i="3"/>
  <c r="I91" i="3"/>
  <c r="H91" i="3"/>
  <c r="G91" i="3"/>
  <c r="F91" i="3"/>
  <c r="E91" i="3"/>
  <c r="D91" i="3"/>
  <c r="P90" i="3"/>
  <c r="P89" i="3"/>
  <c r="O88" i="3"/>
  <c r="N88" i="3"/>
  <c r="M88" i="3"/>
  <c r="L88" i="3"/>
  <c r="K88" i="3"/>
  <c r="J88" i="3"/>
  <c r="I88" i="3"/>
  <c r="H88" i="3"/>
  <c r="G88" i="3"/>
  <c r="F88" i="3"/>
  <c r="E88" i="3"/>
  <c r="D88" i="3"/>
  <c r="P87" i="3"/>
  <c r="P86" i="3"/>
  <c r="P85" i="3"/>
  <c r="P84" i="3"/>
  <c r="P83" i="3"/>
  <c r="P82" i="3"/>
  <c r="P81" i="3"/>
  <c r="P79" i="3"/>
  <c r="O78" i="3"/>
  <c r="N78" i="3"/>
  <c r="M78" i="3"/>
  <c r="L78" i="3"/>
  <c r="K78" i="3"/>
  <c r="J78" i="3"/>
  <c r="I78" i="3"/>
  <c r="H78" i="3"/>
  <c r="G78" i="3"/>
  <c r="F78" i="3"/>
  <c r="E78" i="3"/>
  <c r="D78" i="3"/>
  <c r="P77" i="3"/>
  <c r="P75" i="3"/>
  <c r="P106" i="3" s="1"/>
  <c r="P74" i="3"/>
  <c r="P102" i="3" s="1"/>
  <c r="P73" i="3"/>
  <c r="P72" i="3"/>
  <c r="P98" i="3" s="1"/>
  <c r="P71" i="3"/>
  <c r="G31" i="4"/>
  <c r="F31" i="4"/>
  <c r="H30" i="4"/>
  <c r="H29" i="4"/>
  <c r="H28" i="4"/>
  <c r="H27" i="4"/>
  <c r="H26" i="4"/>
  <c r="H25" i="4"/>
  <c r="H24" i="4"/>
  <c r="H23" i="4"/>
  <c r="H22" i="4"/>
  <c r="H21" i="4"/>
  <c r="H20" i="4"/>
  <c r="H19" i="4"/>
  <c r="J56" i="2" l="1"/>
  <c r="K55" i="2"/>
  <c r="E56" i="2"/>
  <c r="F55" i="2"/>
  <c r="O92" i="3"/>
  <c r="C30" i="4" s="1"/>
  <c r="I30" i="4" s="1"/>
  <c r="N92" i="3"/>
  <c r="C29" i="4" s="1"/>
  <c r="I29" i="4" s="1"/>
  <c r="H120" i="3"/>
  <c r="E120" i="3"/>
  <c r="P120" i="3" s="1"/>
  <c r="I96" i="3"/>
  <c r="L92" i="3"/>
  <c r="C27" i="4" s="1"/>
  <c r="I27" i="4" s="1"/>
  <c r="M92" i="3"/>
  <c r="C28" i="4" s="1"/>
  <c r="I28" i="4" s="1"/>
  <c r="I92" i="3"/>
  <c r="C24" i="4" s="1"/>
  <c r="I24" i="4" s="1"/>
  <c r="P95" i="3"/>
  <c r="P91" i="3"/>
  <c r="P88" i="3"/>
  <c r="D92" i="3"/>
  <c r="C19" i="4" s="1"/>
  <c r="P78" i="3"/>
  <c r="J92" i="3"/>
  <c r="C25" i="4" s="1"/>
  <c r="I25" i="4" s="1"/>
  <c r="F92" i="3"/>
  <c r="C21" i="4" s="1"/>
  <c r="I21" i="4" s="1"/>
  <c r="K92" i="3"/>
  <c r="C26" i="4" s="1"/>
  <c r="I26" i="4" s="1"/>
  <c r="P127" i="3"/>
  <c r="P110" i="3"/>
  <c r="P124" i="3"/>
  <c r="E92" i="3"/>
  <c r="C20" i="4" s="1"/>
  <c r="I20" i="4" s="1"/>
  <c r="F96" i="3"/>
  <c r="G96" i="3"/>
  <c r="H96" i="3"/>
  <c r="M96" i="3"/>
  <c r="N96" i="3"/>
  <c r="O96" i="3"/>
  <c r="P103" i="3"/>
  <c r="P107" i="3"/>
  <c r="P116" i="3"/>
  <c r="P99" i="3"/>
  <c r="P128" i="3"/>
  <c r="J96" i="3"/>
  <c r="O111" i="3"/>
  <c r="P111" i="3" s="1"/>
  <c r="P115" i="3"/>
  <c r="G92" i="3"/>
  <c r="C22" i="4" s="1"/>
  <c r="I22" i="4" s="1"/>
  <c r="K96" i="3"/>
  <c r="H92" i="3"/>
  <c r="C23" i="4" s="1"/>
  <c r="I23" i="4" s="1"/>
  <c r="K23" i="4" s="1"/>
  <c r="L96" i="3"/>
  <c r="D96" i="3"/>
  <c r="E96" i="3"/>
  <c r="P119" i="3"/>
  <c r="P123" i="3"/>
  <c r="H31" i="4"/>
  <c r="K56" i="2" l="1"/>
  <c r="F56" i="2"/>
  <c r="E23" i="4"/>
  <c r="I19" i="4"/>
  <c r="I31" i="4" s="1"/>
  <c r="C31" i="4"/>
  <c r="P92" i="3"/>
  <c r="P96" i="3"/>
  <c r="K77" i="2" l="1"/>
  <c r="L76" i="2" l="1"/>
  <c r="K43" i="2" l="1"/>
  <c r="L42" i="2"/>
  <c r="E67" i="2" l="1"/>
  <c r="H67" i="2"/>
  <c r="J19" i="4" l="1"/>
  <c r="E19" i="4"/>
  <c r="J30" i="4"/>
  <c r="K30" i="4" s="1"/>
  <c r="E30" i="4"/>
  <c r="J22" i="4"/>
  <c r="K22" i="4" s="1"/>
  <c r="E22" i="4"/>
  <c r="J29" i="4"/>
  <c r="K29" i="4" s="1"/>
  <c r="E29" i="4"/>
  <c r="J28" i="4"/>
  <c r="K28" i="4" s="1"/>
  <c r="E28" i="4"/>
  <c r="J27" i="4"/>
  <c r="K27" i="4" s="1"/>
  <c r="E27" i="4"/>
  <c r="J26" i="4"/>
  <c r="K26" i="4" s="1"/>
  <c r="E26" i="4"/>
  <c r="J25" i="4"/>
  <c r="K25" i="4" s="1"/>
  <c r="E25" i="4"/>
  <c r="J24" i="4"/>
  <c r="K24" i="4" s="1"/>
  <c r="E24" i="4"/>
  <c r="J67" i="2"/>
  <c r="K18" i="2"/>
  <c r="F18" i="2"/>
  <c r="L67" i="2"/>
  <c r="D31" i="4" l="1"/>
  <c r="K19" i="4"/>
  <c r="J21" i="4"/>
  <c r="K21" i="4" s="1"/>
  <c r="E21" i="4"/>
  <c r="J20" i="4"/>
  <c r="K20" i="4" s="1"/>
  <c r="E20" i="4"/>
  <c r="E31" i="4" l="1"/>
  <c r="J31" i="4"/>
  <c r="K31" i="4"/>
  <c r="L68" i="2"/>
  <c r="K83" i="2" l="1"/>
  <c r="K74" i="2"/>
  <c r="K71" i="2"/>
  <c r="K49" i="2"/>
  <c r="J70" i="2"/>
  <c r="K12" i="2"/>
  <c r="L37" i="2"/>
  <c r="L33" i="2"/>
  <c r="K28" i="2"/>
  <c r="E76" i="2"/>
  <c r="L73" i="2"/>
  <c r="L70" i="2"/>
  <c r="H70" i="2"/>
  <c r="E70" i="2"/>
  <c r="K19" i="2"/>
  <c r="L64" i="2"/>
  <c r="J64" i="2"/>
  <c r="J65" i="2" s="1"/>
  <c r="H64" i="2"/>
  <c r="H65" i="2" s="1"/>
  <c r="L51" i="2"/>
  <c r="H51" i="2"/>
  <c r="L48" i="2"/>
  <c r="H48" i="2"/>
  <c r="E48" i="2"/>
  <c r="L45" i="2"/>
  <c r="J45" i="2"/>
  <c r="H45" i="2"/>
  <c r="K8" i="2"/>
  <c r="E42" i="2"/>
  <c r="I5" i="2"/>
  <c r="H5" i="2"/>
  <c r="H43" i="2" s="1"/>
  <c r="J4" i="2"/>
  <c r="I4" i="2"/>
  <c r="H4" i="2"/>
  <c r="L4" i="2" s="1"/>
  <c r="J9" i="1"/>
  <c r="J7" i="1"/>
  <c r="J5" i="1"/>
  <c r="I5" i="1"/>
  <c r="G5" i="1"/>
  <c r="E5" i="1"/>
  <c r="I4" i="1"/>
  <c r="J4" i="1" s="1"/>
  <c r="G4" i="1"/>
  <c r="E4" i="1"/>
  <c r="I83" i="2" l="1"/>
  <c r="I49" i="2"/>
  <c r="I46" i="2"/>
  <c r="I43" i="2"/>
  <c r="I74" i="2"/>
  <c r="I77" i="2"/>
  <c r="I71" i="2"/>
  <c r="I52" i="2"/>
  <c r="L85" i="2"/>
  <c r="I9" i="2"/>
  <c r="I58" i="2" s="1"/>
  <c r="I27" i="2"/>
  <c r="G77" i="2"/>
  <c r="G74" i="2"/>
  <c r="G43" i="2"/>
  <c r="I15" i="2"/>
  <c r="G71" i="2"/>
  <c r="G49" i="2"/>
  <c r="I24" i="2"/>
  <c r="G24" i="2" s="1"/>
  <c r="I18" i="2"/>
  <c r="I20" i="2"/>
  <c r="G20" i="2" s="1"/>
  <c r="I21" i="2"/>
  <c r="I22" i="2"/>
  <c r="I23" i="2"/>
  <c r="I14" i="2"/>
  <c r="I7" i="2"/>
  <c r="I36" i="2"/>
  <c r="G36" i="2" s="1"/>
  <c r="I8" i="2"/>
  <c r="G8" i="2" s="1"/>
  <c r="I35" i="2"/>
  <c r="G35" i="2" s="1"/>
  <c r="I10" i="2"/>
  <c r="I45" i="2" s="1"/>
  <c r="I11" i="2"/>
  <c r="G11" i="2" s="1"/>
  <c r="I31" i="2"/>
  <c r="I12" i="2"/>
  <c r="I28" i="2"/>
  <c r="G28" i="2" s="1"/>
  <c r="I6" i="2"/>
  <c r="G6" i="2" s="1"/>
  <c r="I26" i="2"/>
  <c r="I79" i="2" s="1"/>
  <c r="I80" i="2" s="1"/>
  <c r="G80" i="2" s="1"/>
  <c r="I17" i="2"/>
  <c r="G17" i="2" s="1"/>
  <c r="I19" i="2"/>
  <c r="I32" i="2"/>
  <c r="G32" i="2" s="1"/>
  <c r="G6" i="1"/>
  <c r="G9" i="1"/>
  <c r="H9" i="1" s="1"/>
  <c r="G7" i="1"/>
  <c r="H7" i="1" s="1"/>
  <c r="G8" i="1"/>
  <c r="H46" i="2"/>
  <c r="H83" i="2"/>
  <c r="H77" i="2"/>
  <c r="F77" i="2" s="1"/>
  <c r="H74" i="2"/>
  <c r="F74" i="2" s="1"/>
  <c r="H71" i="2"/>
  <c r="F71" i="2" s="1"/>
  <c r="H52" i="2"/>
  <c r="H53" i="2" s="1"/>
  <c r="H49" i="2"/>
  <c r="F49" i="2" s="1"/>
  <c r="E7" i="1"/>
  <c r="F7" i="1" s="1"/>
  <c r="E8" i="1"/>
  <c r="E9" i="1"/>
  <c r="F9" i="1" s="1"/>
  <c r="E6" i="1"/>
  <c r="H36" i="2"/>
  <c r="F36" i="2" s="1"/>
  <c r="H35" i="2"/>
  <c r="F43" i="2"/>
  <c r="K23" i="2"/>
  <c r="J76" i="2"/>
  <c r="K76" i="2" s="1"/>
  <c r="K46" i="2"/>
  <c r="F76" i="2"/>
  <c r="K22" i="2"/>
  <c r="K7" i="2"/>
  <c r="J42" i="2"/>
  <c r="K42" i="2" s="1"/>
  <c r="F42" i="2"/>
  <c r="K35" i="2"/>
  <c r="E68" i="2"/>
  <c r="F67" i="2"/>
  <c r="H73" i="2"/>
  <c r="H68" i="2"/>
  <c r="J73" i="2"/>
  <c r="K73" i="2" s="1"/>
  <c r="F17" i="2"/>
  <c r="K82" i="2"/>
  <c r="K36" i="2"/>
  <c r="F8" i="2"/>
  <c r="H13" i="2"/>
  <c r="H29" i="2"/>
  <c r="H33" i="2"/>
  <c r="K70" i="2"/>
  <c r="F20" i="2"/>
  <c r="K52" i="2"/>
  <c r="K14" i="2"/>
  <c r="J48" i="2"/>
  <c r="K48" i="2" s="1"/>
  <c r="K45" i="2"/>
  <c r="E33" i="2"/>
  <c r="H25" i="2"/>
  <c r="F21" i="2"/>
  <c r="F7" i="2"/>
  <c r="K7" i="1"/>
  <c r="F11" i="2"/>
  <c r="F14" i="2"/>
  <c r="F48" i="2"/>
  <c r="F70" i="2"/>
  <c r="E45" i="2"/>
  <c r="E64" i="2"/>
  <c r="F6" i="2"/>
  <c r="E13" i="2"/>
  <c r="F23" i="2"/>
  <c r="F32" i="2"/>
  <c r="F12" i="2"/>
  <c r="F22" i="2"/>
  <c r="F31" i="2"/>
  <c r="E73" i="2"/>
  <c r="E29" i="2"/>
  <c r="E51" i="2"/>
  <c r="E85" i="2" s="1"/>
  <c r="F10" i="2"/>
  <c r="F28" i="2"/>
  <c r="J33" i="2"/>
  <c r="K33" i="2" s="1"/>
  <c r="F19" i="2"/>
  <c r="F26" i="2"/>
  <c r="K9" i="1"/>
  <c r="E37" i="2"/>
  <c r="L13" i="2"/>
  <c r="J8" i="1"/>
  <c r="L65" i="2"/>
  <c r="K64" i="2"/>
  <c r="L53" i="2"/>
  <c r="K6" i="2"/>
  <c r="K10" i="2"/>
  <c r="K17" i="2"/>
  <c r="K20" i="2"/>
  <c r="K21" i="2"/>
  <c r="K31" i="2"/>
  <c r="L25" i="2"/>
  <c r="L29" i="2"/>
  <c r="H87" i="2" l="1"/>
  <c r="H85" i="2"/>
  <c r="L87" i="2"/>
  <c r="G61" i="2"/>
  <c r="G15" i="2"/>
  <c r="G9" i="2"/>
  <c r="I82" i="2"/>
  <c r="G27" i="2"/>
  <c r="G79" i="2"/>
  <c r="F83" i="2"/>
  <c r="G19" i="2"/>
  <c r="G14" i="2"/>
  <c r="I25" i="2"/>
  <c r="I64" i="2"/>
  <c r="I65" i="2" s="1"/>
  <c r="G10" i="1"/>
  <c r="G11" i="1" s="1"/>
  <c r="G83" i="2"/>
  <c r="K65" i="2"/>
  <c r="I55" i="2"/>
  <c r="I56" i="2" s="1"/>
  <c r="G56" i="2" s="1"/>
  <c r="E10" i="1"/>
  <c r="F6" i="1"/>
  <c r="E30" i="2"/>
  <c r="L30" i="2"/>
  <c r="H30" i="2"/>
  <c r="G46" i="2"/>
  <c r="G23" i="2"/>
  <c r="I76" i="2"/>
  <c r="G76" i="2" s="1"/>
  <c r="G22" i="2"/>
  <c r="G7" i="2"/>
  <c r="I42" i="2"/>
  <c r="G42" i="2" s="1"/>
  <c r="D10" i="1"/>
  <c r="I67" i="2"/>
  <c r="G18" i="2"/>
  <c r="I73" i="2"/>
  <c r="G73" i="2" s="1"/>
  <c r="F68" i="2"/>
  <c r="J68" i="2"/>
  <c r="K67" i="2"/>
  <c r="K26" i="2"/>
  <c r="J29" i="2"/>
  <c r="K29" i="2" s="1"/>
  <c r="H37" i="2"/>
  <c r="F37" i="2" s="1"/>
  <c r="K32" i="2"/>
  <c r="K11" i="2"/>
  <c r="I48" i="2"/>
  <c r="G48" i="2" s="1"/>
  <c r="G10" i="2"/>
  <c r="J37" i="2"/>
  <c r="K37" i="2" s="1"/>
  <c r="F52" i="2"/>
  <c r="H34" i="2"/>
  <c r="F33" i="2"/>
  <c r="I51" i="2"/>
  <c r="I10" i="1"/>
  <c r="G52" i="2"/>
  <c r="J51" i="2"/>
  <c r="J85" i="2" s="1"/>
  <c r="K25" i="2"/>
  <c r="I70" i="2"/>
  <c r="G70" i="2" s="1"/>
  <c r="I33" i="2"/>
  <c r="G33" i="2" s="1"/>
  <c r="I29" i="2"/>
  <c r="G29" i="2" s="1"/>
  <c r="I13" i="2"/>
  <c r="G21" i="2"/>
  <c r="G12" i="2"/>
  <c r="G82" i="2"/>
  <c r="I37" i="2"/>
  <c r="G37" i="2" s="1"/>
  <c r="G26" i="2"/>
  <c r="F35" i="2"/>
  <c r="F46" i="2"/>
  <c r="G31" i="2"/>
  <c r="F25" i="2"/>
  <c r="F29" i="2"/>
  <c r="E34" i="2"/>
  <c r="F13" i="2"/>
  <c r="G45" i="2"/>
  <c r="F45" i="2"/>
  <c r="F51" i="2"/>
  <c r="E53" i="2"/>
  <c r="F73" i="2"/>
  <c r="F82" i="2"/>
  <c r="E65" i="2"/>
  <c r="E87" i="2" s="1"/>
  <c r="F64" i="2"/>
  <c r="L34" i="2"/>
  <c r="L38" i="2" s="1"/>
  <c r="J10" i="1"/>
  <c r="G25" i="2" l="1"/>
  <c r="I30" i="2"/>
  <c r="G51" i="2"/>
  <c r="I85" i="2"/>
  <c r="H86" i="2"/>
  <c r="J30" i="2"/>
  <c r="K30" i="2" s="1"/>
  <c r="E38" i="2"/>
  <c r="F34" i="2"/>
  <c r="K68" i="2"/>
  <c r="F87" i="2"/>
  <c r="I59" i="2"/>
  <c r="G59" i="2" s="1"/>
  <c r="G58" i="2"/>
  <c r="G64" i="2"/>
  <c r="L86" i="2"/>
  <c r="G55" i="2"/>
  <c r="F10" i="1"/>
  <c r="E11" i="1"/>
  <c r="G30" i="2"/>
  <c r="K13" i="2"/>
  <c r="F30" i="2"/>
  <c r="K85" i="2"/>
  <c r="J53" i="2"/>
  <c r="J87" i="2" s="1"/>
  <c r="H38" i="2"/>
  <c r="F8" i="1"/>
  <c r="H8" i="1"/>
  <c r="H10" i="1"/>
  <c r="I68" i="2"/>
  <c r="G67" i="2"/>
  <c r="K8" i="1"/>
  <c r="I11" i="1"/>
  <c r="K10" i="1"/>
  <c r="I53" i="2"/>
  <c r="H6" i="1"/>
  <c r="D11" i="1"/>
  <c r="K51" i="2"/>
  <c r="I34" i="2"/>
  <c r="I38" i="2" s="1"/>
  <c r="G13" i="2"/>
  <c r="J34" i="2"/>
  <c r="J38" i="2" s="1"/>
  <c r="K38" i="2" s="1"/>
  <c r="J6" i="1"/>
  <c r="J11" i="1" s="1"/>
  <c r="F65" i="2"/>
  <c r="G65" i="2"/>
  <c r="F53" i="2"/>
  <c r="F85" i="2"/>
  <c r="G53" i="2" l="1"/>
  <c r="G38" i="2"/>
  <c r="F38" i="2"/>
  <c r="E86" i="2"/>
  <c r="F86" i="2" s="1"/>
  <c r="K53" i="2"/>
  <c r="G85" i="2"/>
  <c r="G68" i="2"/>
  <c r="F11" i="1"/>
  <c r="K11" i="1"/>
  <c r="H11" i="1"/>
  <c r="K6" i="1"/>
  <c r="G34" i="2"/>
  <c r="K34" i="2"/>
  <c r="J86" i="2" l="1"/>
  <c r="K86" i="2" s="1"/>
  <c r="K87" i="2"/>
  <c r="I86" i="2"/>
  <c r="G86" i="2" s="1"/>
  <c r="G87" i="2"/>
  <c r="G6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류지형</author>
  </authors>
  <commentList>
    <comment ref="C50" authorId="0" shapeId="0" xr:uid="{FBCFA9CA-DF72-4489-BCCD-0ADF5EF31AD7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13" authorId="0" shapeId="0" xr:uid="{CF811645-9FF7-4612-A19C-197E9FD9100B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</commentList>
</comments>
</file>

<file path=xl/sharedStrings.xml><?xml version="1.0" encoding="utf-8"?>
<sst xmlns="http://schemas.openxmlformats.org/spreadsheetml/2006/main" count="233" uniqueCount="101">
  <si>
    <r>
      <rPr>
        <sz val="14"/>
        <color rgb="FF000000"/>
        <rFont val="굴림"/>
        <family val="3"/>
        <charset val="129"/>
      </rPr>
      <t>■</t>
    </r>
    <r>
      <rPr>
        <sz val="14"/>
        <color rgb="FF000000"/>
        <rFont val="HY헤드라인M"/>
        <family val="1"/>
        <charset val="129"/>
      </rPr>
      <t xml:space="preserve"> 기아 2025년 10월 판매실적</t>
    </r>
  </si>
  <si>
    <t xml:space="preserve">  </t>
    <phoneticPr fontId="2" type="noConversion"/>
  </si>
  <si>
    <t>구분</t>
    <phoneticPr fontId="2" type="noConversion"/>
  </si>
  <si>
    <t>전년동월
대비</t>
    <phoneticPr fontId="2" type="noConversion"/>
  </si>
  <si>
    <t>전월
대비</t>
    <phoneticPr fontId="2" type="noConversion"/>
  </si>
  <si>
    <t>연간누계
대비</t>
    <phoneticPr fontId="2" type="noConversion"/>
  </si>
  <si>
    <t>국내</t>
    <phoneticPr fontId="2" type="noConversion"/>
  </si>
  <si>
    <t>해외</t>
    <phoneticPr fontId="2" type="noConversion"/>
  </si>
  <si>
    <t>특수 차량</t>
    <phoneticPr fontId="2" type="noConversion"/>
  </si>
  <si>
    <t>계</t>
    <phoneticPr fontId="2" type="noConversion"/>
  </si>
  <si>
    <t>기아 2025년 10월 판매실적 - 차종별</t>
  </si>
  <si>
    <t>.</t>
    <phoneticPr fontId="2" type="noConversion"/>
  </si>
  <si>
    <t xml:space="preserve">              </t>
  </si>
  <si>
    <t>구    분</t>
    <phoneticPr fontId="2" type="noConversion"/>
  </si>
  <si>
    <t>전년
동월대비</t>
    <phoneticPr fontId="2" type="noConversion"/>
  </si>
  <si>
    <t>누계</t>
    <phoneticPr fontId="2" type="noConversion"/>
  </si>
  <si>
    <t>전년
누계대비</t>
    <phoneticPr fontId="2" type="noConversion"/>
  </si>
  <si>
    <t>모닝</t>
    <phoneticPr fontId="2" type="noConversion"/>
  </si>
  <si>
    <t>레이</t>
    <phoneticPr fontId="2" type="noConversion"/>
  </si>
  <si>
    <t>K3</t>
    <phoneticPr fontId="2" type="noConversion"/>
  </si>
  <si>
    <t>EV4</t>
  </si>
  <si>
    <t>K5</t>
    <phoneticPr fontId="2" type="noConversion"/>
  </si>
  <si>
    <t>K8</t>
    <phoneticPr fontId="2" type="noConversion"/>
  </si>
  <si>
    <t>K9</t>
    <phoneticPr fontId="2" type="noConversion"/>
  </si>
  <si>
    <t>승용</t>
    <phoneticPr fontId="2" type="noConversion"/>
  </si>
  <si>
    <t>니로</t>
    <phoneticPr fontId="2" type="noConversion"/>
  </si>
  <si>
    <t>EV3</t>
    <phoneticPr fontId="2" type="noConversion"/>
  </si>
  <si>
    <t>EV5</t>
    <phoneticPr fontId="2" type="noConversion"/>
  </si>
  <si>
    <t>EV6</t>
    <phoneticPr fontId="2" type="noConversion"/>
  </si>
  <si>
    <t>EV9</t>
    <phoneticPr fontId="2" type="noConversion"/>
  </si>
  <si>
    <t>셀토스</t>
    <phoneticPr fontId="2" type="noConversion"/>
  </si>
  <si>
    <t>스포티지</t>
    <phoneticPr fontId="2" type="noConversion"/>
  </si>
  <si>
    <t>쏘렌토</t>
    <phoneticPr fontId="2" type="noConversion"/>
  </si>
  <si>
    <t>모하비</t>
    <phoneticPr fontId="2" type="noConversion"/>
  </si>
  <si>
    <t>카니발</t>
    <phoneticPr fontId="2" type="noConversion"/>
  </si>
  <si>
    <t>타스만</t>
    <phoneticPr fontId="2" type="noConversion"/>
  </si>
  <si>
    <t>RV</t>
    <phoneticPr fontId="2" type="noConversion"/>
  </si>
  <si>
    <t>PV5</t>
    <phoneticPr fontId="2" type="noConversion"/>
  </si>
  <si>
    <t>봉고</t>
    <phoneticPr fontId="2" type="noConversion"/>
  </si>
  <si>
    <t>버스</t>
    <phoneticPr fontId="2" type="noConversion"/>
  </si>
  <si>
    <t>상용</t>
    <phoneticPr fontId="2" type="noConversion"/>
  </si>
  <si>
    <t>국내판매 (특수 제외)</t>
    <phoneticPr fontId="2" type="noConversion"/>
  </si>
  <si>
    <t>특장</t>
    <phoneticPr fontId="2" type="noConversion"/>
  </si>
  <si>
    <t>군수</t>
    <phoneticPr fontId="2" type="noConversion"/>
  </si>
  <si>
    <t>국내판매 (특수 포함)</t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</si>
  <si>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(세단·RV·상용)</t>
    </r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</si>
  <si>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(특수)</t>
    </r>
    <phoneticPr fontId="2" type="noConversion"/>
  </si>
  <si>
    <t>해외판매</t>
    <phoneticPr fontId="2" type="noConversion"/>
  </si>
  <si>
    <t>※ 국내 친환경차(HEV / PHEV / EV) 판매</t>
    <phoneticPr fontId="2" type="noConversion"/>
  </si>
  <si>
    <t>레이 (계)</t>
    <phoneticPr fontId="2" type="noConversion"/>
  </si>
  <si>
    <t>레이 EV</t>
    <phoneticPr fontId="2" type="noConversion"/>
  </si>
  <si>
    <t>K5 (계)</t>
    <phoneticPr fontId="2" type="noConversion"/>
  </si>
  <si>
    <t>K5 HEV</t>
    <phoneticPr fontId="2" type="noConversion"/>
  </si>
  <si>
    <t>K8 (계)</t>
    <phoneticPr fontId="2" type="noConversion"/>
  </si>
  <si>
    <t>K8 HEV</t>
    <phoneticPr fontId="2" type="noConversion"/>
  </si>
  <si>
    <t>니로 (계)</t>
    <phoneticPr fontId="2" type="noConversion"/>
  </si>
  <si>
    <t>니로 HEV</t>
    <phoneticPr fontId="2" type="noConversion"/>
  </si>
  <si>
    <t>니로 EV</t>
    <phoneticPr fontId="2" type="noConversion"/>
  </si>
  <si>
    <t xml:space="preserve">         </t>
    <phoneticPr fontId="2" type="noConversion"/>
  </si>
  <si>
    <t>EV3 (계)</t>
    <phoneticPr fontId="2" type="noConversion"/>
  </si>
  <si>
    <t>EV4 (계)</t>
    <phoneticPr fontId="2" type="noConversion"/>
  </si>
  <si>
    <t>EV4</t>
    <phoneticPr fontId="2" type="noConversion"/>
  </si>
  <si>
    <t>EV5 (계)</t>
    <phoneticPr fontId="2" type="noConversion"/>
  </si>
  <si>
    <t>EV6 (계)</t>
    <phoneticPr fontId="2" type="noConversion"/>
  </si>
  <si>
    <t>EV9 (계)</t>
    <phoneticPr fontId="2" type="noConversion"/>
  </si>
  <si>
    <t>스포티지 (계)</t>
    <phoneticPr fontId="2" type="noConversion"/>
  </si>
  <si>
    <t>스포티지 HEV</t>
    <phoneticPr fontId="2" type="noConversion"/>
  </si>
  <si>
    <t>쏘렌토 (계)</t>
    <phoneticPr fontId="2" type="noConversion"/>
  </si>
  <si>
    <t>쏘렌토 HEV</t>
    <phoneticPr fontId="2" type="noConversion"/>
  </si>
  <si>
    <t>카니발 (계)</t>
    <phoneticPr fontId="2" type="noConversion"/>
  </si>
  <si>
    <t>카니발 HEV</t>
    <phoneticPr fontId="2" type="noConversion"/>
  </si>
  <si>
    <t>PV5 (계)</t>
    <phoneticPr fontId="2" type="noConversion"/>
  </si>
  <si>
    <t>봉고 (계)</t>
    <phoneticPr fontId="2" type="noConversion"/>
  </si>
  <si>
    <t>봉고 EV</t>
    <phoneticPr fontId="2" type="noConversion"/>
  </si>
  <si>
    <t>친환경 합계</t>
    <phoneticPr fontId="2" type="noConversion"/>
  </si>
  <si>
    <t>HEV</t>
    <phoneticPr fontId="2" type="noConversion"/>
  </si>
  <si>
    <t>EV</t>
    <phoneticPr fontId="2" type="noConversion"/>
  </si>
  <si>
    <t>◆ 차종별 실적 - 국내판매</t>
    <phoneticPr fontId="2" type="noConversion"/>
  </si>
  <si>
    <t>※ 2025년</t>
    <phoneticPr fontId="2" type="noConversion"/>
  </si>
  <si>
    <t>차  종</t>
    <phoneticPr fontId="2" type="noConversion"/>
  </si>
  <si>
    <t>상
용</t>
    <phoneticPr fontId="2" type="noConversion"/>
  </si>
  <si>
    <t>계 (특수 제외)</t>
    <phoneticPr fontId="2" type="noConversion"/>
  </si>
  <si>
    <t>특수</t>
    <phoneticPr fontId="2" type="noConversion"/>
  </si>
  <si>
    <t>총      계</t>
    <phoneticPr fontId="2" type="noConversion"/>
  </si>
  <si>
    <t>DL3</t>
    <phoneticPr fontId="2" type="noConversion"/>
  </si>
  <si>
    <t>DL3 HEV</t>
    <phoneticPr fontId="2" type="noConversion"/>
  </si>
  <si>
    <t>K8(K7 후속)</t>
    <phoneticPr fontId="2" type="noConversion"/>
  </si>
  <si>
    <t>GL3</t>
    <phoneticPr fontId="2" type="noConversion"/>
  </si>
  <si>
    <t>GL3 HEV</t>
    <phoneticPr fontId="2" type="noConversion"/>
  </si>
  <si>
    <t>니로 플러스</t>
    <phoneticPr fontId="2" type="noConversion"/>
  </si>
  <si>
    <t>NQ5</t>
    <phoneticPr fontId="2" type="noConversion"/>
  </si>
  <si>
    <t>NQ5 HEV</t>
    <phoneticPr fontId="2" type="noConversion"/>
  </si>
  <si>
    <t>MQ4</t>
    <phoneticPr fontId="2" type="noConversion"/>
  </si>
  <si>
    <t>MQ4 HEV</t>
    <phoneticPr fontId="2" type="noConversion"/>
  </si>
  <si>
    <t>KA4</t>
    <phoneticPr fontId="2" type="noConversion"/>
  </si>
  <si>
    <t>KA4 HEV</t>
    <phoneticPr fontId="2" type="noConversion"/>
  </si>
  <si>
    <t>※ 2024년</t>
    <phoneticPr fontId="2" type="noConversion"/>
  </si>
  <si>
    <t>스팅어</t>
    <phoneticPr fontId="2" type="noConversion"/>
  </si>
  <si>
    <t>세단·RV·상용</t>
    <phoneticPr fontId="2" type="noConversion"/>
  </si>
  <si>
    <t>2025년</t>
    <phoneticPr fontId="2" type="noConversion"/>
  </si>
  <si>
    <t>2024년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</si>
</sst>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1-&quot;0&quot;월&quot;"/>
    <numFmt numFmtId="181" formatCode="#&quot;년&quot;"/>
    <numFmt numFmtId="182" formatCode="####&quot;년&quot;"/>
    <numFmt numFmtId="183" formatCode="0&quot;년&quot;"/>
    <numFmt numFmtId="184" formatCode="&quot;기아차 2010년 &quot;##&quot;월 판매실적 - 차종별&quot;"/>
    <numFmt numFmtId="185" formatCode="0.0%;\-0.0%"/>
    <numFmt numFmtId="186" formatCode="&quot;기아차 2015년 &quot;##&quot;월 판매실적 - 차종별&quot;"/>
    <numFmt numFmtId="187" formatCode="&quot;■ 기아차 2015년 &quot;##&quot;월 판매실적&quot;"/>
    <numFmt numFmtId="188" formatCode="#,##0.0_ 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4"/>
      <name val="HY헤드라인M"/>
      <family val="1"/>
      <charset val="129"/>
    </font>
    <font>
      <sz val="9"/>
      <name val="돋움"/>
      <family val="3"/>
      <charset val="129"/>
    </font>
    <font>
      <sz val="20"/>
      <name val="HY헤드라인M"/>
      <family val="1"/>
      <charset val="129"/>
    </font>
    <font>
      <sz val="12"/>
      <name val="Times New Roman"/>
      <family val="1"/>
    </font>
    <font>
      <sz val="8"/>
      <name val="HY헤드라인M"/>
      <family val="1"/>
      <charset val="129"/>
    </font>
    <font>
      <sz val="8"/>
      <name val="Times New Roman"/>
      <family val="1"/>
    </font>
    <font>
      <sz val="11"/>
      <name val="Times New Roman"/>
      <family val="1"/>
    </font>
    <font>
      <sz val="10"/>
      <name val="HY헤드라인M"/>
      <family val="1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6"/>
      <name val="HY헤드라인M"/>
      <family val="1"/>
      <charset val="129"/>
    </font>
    <font>
      <sz val="14"/>
      <color rgb="FF000000"/>
      <name val="굴림"/>
      <family val="3"/>
      <charset val="129"/>
    </font>
    <font>
      <sz val="14"/>
      <color rgb="FF000000"/>
      <name val="HY헤드라인M"/>
      <family val="1"/>
      <charset val="129"/>
    </font>
    <font>
      <sz val="14"/>
      <color rgb="FF000000"/>
      <name val="HY헤드라인M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66"/>
        <bgColor indexed="64"/>
      </patternFill>
    </fill>
  </fills>
  <borders count="15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4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184" fontId="3" fillId="0" borderId="0" xfId="0" applyNumberFormat="1" applyFont="1">
      <alignment vertical="center"/>
    </xf>
    <xf numFmtId="0" fontId="6" fillId="0" borderId="0" xfId="3" applyFont="1" applyAlignment="1">
      <alignment vertical="center"/>
    </xf>
    <xf numFmtId="184" fontId="7" fillId="0" borderId="0" xfId="0" applyNumberFormat="1" applyFont="1">
      <alignment vertical="center"/>
    </xf>
    <xf numFmtId="41" fontId="8" fillId="0" borderId="0" xfId="3" applyNumberFormat="1" applyFont="1" applyAlignment="1">
      <alignment horizontal="right" vertical="center" wrapText="1"/>
    </xf>
    <xf numFmtId="0" fontId="6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41" fontId="6" fillId="0" borderId="0" xfId="3" applyNumberFormat="1" applyFont="1" applyAlignment="1">
      <alignment vertical="center"/>
    </xf>
    <xf numFmtId="0" fontId="10" fillId="0" borderId="0" xfId="0" applyFont="1">
      <alignment vertical="center"/>
    </xf>
    <xf numFmtId="41" fontId="10" fillId="0" borderId="0" xfId="2" applyFont="1">
      <alignment vertical="center"/>
    </xf>
    <xf numFmtId="41" fontId="2" fillId="0" borderId="0" xfId="2" applyFont="1">
      <alignment vertical="center"/>
    </xf>
    <xf numFmtId="0" fontId="2" fillId="0" borderId="0" xfId="0" applyFont="1">
      <alignment vertical="center"/>
    </xf>
    <xf numFmtId="176" fontId="13" fillId="0" borderId="0" xfId="3" applyNumberFormat="1" applyFont="1" applyAlignment="1">
      <alignment vertical="center"/>
    </xf>
    <xf numFmtId="176" fontId="14" fillId="0" borderId="0" xfId="2" applyNumberFormat="1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4" borderId="31" xfId="3" quotePrefix="1" applyFont="1" applyFill="1" applyBorder="1" applyAlignment="1">
      <alignment wrapText="1"/>
    </xf>
    <xf numFmtId="0" fontId="16" fillId="4" borderId="32" xfId="3" quotePrefix="1" applyFont="1" applyFill="1" applyBorder="1" applyAlignment="1">
      <alignment wrapText="1"/>
    </xf>
    <xf numFmtId="183" fontId="17" fillId="6" borderId="33" xfId="3" applyNumberFormat="1" applyFont="1" applyFill="1" applyBorder="1" applyAlignment="1">
      <alignment horizontal="center" wrapText="1"/>
    </xf>
    <xf numFmtId="183" fontId="17" fillId="6" borderId="34" xfId="3" applyNumberFormat="1" applyFont="1" applyFill="1" applyBorder="1" applyAlignment="1">
      <alignment horizontal="center" wrapText="1"/>
    </xf>
    <xf numFmtId="0" fontId="16" fillId="4" borderId="32" xfId="3" quotePrefix="1" applyFont="1" applyFill="1" applyBorder="1" applyAlignment="1">
      <alignment horizontal="center" wrapText="1"/>
    </xf>
    <xf numFmtId="183" fontId="17" fillId="6" borderId="35" xfId="3" applyNumberFormat="1" applyFont="1" applyFill="1" applyBorder="1" applyAlignment="1">
      <alignment horizontal="center"/>
    </xf>
    <xf numFmtId="0" fontId="18" fillId="4" borderId="36" xfId="3" quotePrefix="1" applyFont="1" applyFill="1" applyBorder="1" applyAlignment="1">
      <alignment horizontal="center" vertical="center" wrapText="1"/>
    </xf>
    <xf numFmtId="0" fontId="18" fillId="4" borderId="37" xfId="3" quotePrefix="1" applyFont="1" applyFill="1" applyBorder="1" applyAlignment="1">
      <alignment horizontal="center" vertical="center" wrapText="1"/>
    </xf>
    <xf numFmtId="179" fontId="17" fillId="0" borderId="38" xfId="0" applyNumberFormat="1" applyFont="1" applyBorder="1" applyAlignment="1">
      <alignment horizontal="center" vertical="top" wrapText="1"/>
    </xf>
    <xf numFmtId="179" fontId="17" fillId="0" borderId="39" xfId="0" applyNumberFormat="1" applyFont="1" applyBorder="1" applyAlignment="1">
      <alignment horizontal="center" vertical="top" wrapText="1"/>
    </xf>
    <xf numFmtId="183" fontId="17" fillId="6" borderId="40" xfId="3" applyNumberFormat="1" applyFont="1" applyFill="1" applyBorder="1" applyAlignment="1">
      <alignment horizontal="center" vertical="top"/>
    </xf>
    <xf numFmtId="41" fontId="17" fillId="4" borderId="42" xfId="2" applyFont="1" applyFill="1" applyBorder="1" applyAlignment="1">
      <alignment vertical="center"/>
    </xf>
    <xf numFmtId="176" fontId="18" fillId="4" borderId="24" xfId="1" applyNumberFormat="1" applyFont="1" applyFill="1" applyBorder="1" applyAlignment="1">
      <alignment vertical="center"/>
    </xf>
    <xf numFmtId="176" fontId="18" fillId="4" borderId="43" xfId="1" applyNumberFormat="1" applyFont="1" applyFill="1" applyBorder="1" applyAlignment="1">
      <alignment vertical="center"/>
    </xf>
    <xf numFmtId="41" fontId="13" fillId="0" borderId="27" xfId="2" applyFont="1" applyFill="1" applyBorder="1" applyAlignment="1">
      <alignment vertical="center"/>
    </xf>
    <xf numFmtId="41" fontId="13" fillId="0" borderId="44" xfId="2" applyFont="1" applyBorder="1" applyAlignment="1">
      <alignment vertical="center"/>
    </xf>
    <xf numFmtId="0" fontId="17" fillId="5" borderId="45" xfId="3" applyFont="1" applyFill="1" applyBorder="1" applyAlignment="1">
      <alignment horizontal="center" vertical="center"/>
    </xf>
    <xf numFmtId="41" fontId="17" fillId="5" borderId="42" xfId="2" applyFont="1" applyFill="1" applyBorder="1" applyAlignment="1">
      <alignment vertical="center"/>
    </xf>
    <xf numFmtId="176" fontId="18" fillId="5" borderId="24" xfId="1" applyNumberFormat="1" applyFont="1" applyFill="1" applyBorder="1" applyAlignment="1">
      <alignment vertical="center"/>
    </xf>
    <xf numFmtId="176" fontId="18" fillId="5" borderId="43" xfId="1" applyNumberFormat="1" applyFont="1" applyFill="1" applyBorder="1" applyAlignment="1">
      <alignment vertical="center"/>
    </xf>
    <xf numFmtId="41" fontId="13" fillId="5" borderId="27" xfId="2" applyFont="1" applyFill="1" applyBorder="1" applyAlignment="1">
      <alignment vertical="center"/>
    </xf>
    <xf numFmtId="41" fontId="13" fillId="5" borderId="44" xfId="2" applyFont="1" applyFill="1" applyBorder="1" applyAlignment="1">
      <alignment vertical="center"/>
    </xf>
    <xf numFmtId="41" fontId="17" fillId="3" borderId="46" xfId="2" applyFont="1" applyFill="1" applyBorder="1" applyAlignment="1">
      <alignment vertical="center"/>
    </xf>
    <xf numFmtId="176" fontId="18" fillId="3" borderId="36" xfId="1" applyNumberFormat="1" applyFont="1" applyFill="1" applyBorder="1" applyAlignment="1">
      <alignment vertical="center"/>
    </xf>
    <xf numFmtId="176" fontId="18" fillId="3" borderId="37" xfId="1" applyNumberFormat="1" applyFont="1" applyFill="1" applyBorder="1" applyAlignment="1">
      <alignment vertical="center"/>
    </xf>
    <xf numFmtId="41" fontId="13" fillId="3" borderId="47" xfId="2" applyFont="1" applyFill="1" applyBorder="1" applyAlignment="1">
      <alignment vertical="center"/>
    </xf>
    <xf numFmtId="41" fontId="13" fillId="3" borderId="48" xfId="2" applyFont="1" applyFill="1" applyBorder="1" applyAlignment="1">
      <alignment vertical="center"/>
    </xf>
    <xf numFmtId="41" fontId="17" fillId="2" borderId="49" xfId="2" applyFont="1" applyFill="1" applyBorder="1" applyAlignment="1">
      <alignment vertical="center"/>
    </xf>
    <xf numFmtId="176" fontId="18" fillId="2" borderId="50" xfId="1" applyNumberFormat="1" applyFont="1" applyFill="1" applyBorder="1" applyAlignment="1">
      <alignment vertical="center"/>
    </xf>
    <xf numFmtId="176" fontId="18" fillId="2" borderId="51" xfId="1" applyNumberFormat="1" applyFont="1" applyFill="1" applyBorder="1" applyAlignment="1">
      <alignment vertical="center"/>
    </xf>
    <xf numFmtId="41" fontId="13" fillId="2" borderId="52" xfId="2" applyFont="1" applyFill="1" applyBorder="1" applyAlignment="1">
      <alignment vertical="center"/>
    </xf>
    <xf numFmtId="41" fontId="13" fillId="2" borderId="53" xfId="2" applyFont="1" applyFill="1" applyBorder="1" applyAlignment="1">
      <alignment vertical="center"/>
    </xf>
    <xf numFmtId="41" fontId="13" fillId="2" borderId="54" xfId="2" applyFont="1" applyFill="1" applyBorder="1" applyAlignment="1">
      <alignment vertical="center"/>
    </xf>
    <xf numFmtId="0" fontId="13" fillId="0" borderId="43" xfId="3" applyFont="1" applyBorder="1" applyAlignment="1">
      <alignment horizontal="left" vertical="center" indent="1"/>
    </xf>
    <xf numFmtId="0" fontId="19" fillId="0" borderId="0" xfId="3" applyFont="1" applyAlignment="1">
      <alignment vertical="center"/>
    </xf>
    <xf numFmtId="0" fontId="20" fillId="0" borderId="0" xfId="3" applyFont="1" applyAlignment="1">
      <alignment horizontal="left" vertical="center"/>
    </xf>
    <xf numFmtId="0" fontId="20" fillId="0" borderId="0" xfId="3" applyFont="1" applyAlignment="1">
      <alignment vertical="center"/>
    </xf>
    <xf numFmtId="0" fontId="18" fillId="0" borderId="0" xfId="3" applyFont="1" applyAlignment="1">
      <alignment horizontal="center" vertical="center"/>
    </xf>
    <xf numFmtId="0" fontId="18" fillId="0" borderId="0" xfId="3" applyFont="1" applyAlignment="1">
      <alignment vertical="center"/>
    </xf>
    <xf numFmtId="10" fontId="20" fillId="0" borderId="0" xfId="3" applyNumberFormat="1" applyFont="1" applyAlignment="1">
      <alignment vertical="center"/>
    </xf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vertical="center"/>
    </xf>
    <xf numFmtId="41" fontId="17" fillId="0" borderId="0" xfId="2" applyFont="1" applyFill="1" applyBorder="1" applyAlignment="1">
      <alignment vertical="center"/>
    </xf>
    <xf numFmtId="176" fontId="18" fillId="0" borderId="0" xfId="1" applyNumberFormat="1" applyFont="1" applyFill="1" applyBorder="1" applyAlignment="1">
      <alignment vertical="center"/>
    </xf>
    <xf numFmtId="41" fontId="13" fillId="0" borderId="0" xfId="2" applyFont="1" applyFill="1" applyBorder="1" applyAlignment="1">
      <alignment vertical="center"/>
    </xf>
    <xf numFmtId="41" fontId="17" fillId="4" borderId="55" xfId="2" applyFont="1" applyFill="1" applyBorder="1" applyAlignment="1">
      <alignment vertical="center"/>
    </xf>
    <xf numFmtId="176" fontId="18" fillId="4" borderId="56" xfId="1" applyNumberFormat="1" applyFont="1" applyFill="1" applyBorder="1" applyAlignment="1">
      <alignment vertical="center"/>
    </xf>
    <xf numFmtId="176" fontId="18" fillId="4" borderId="57" xfId="1" applyNumberFormat="1" applyFont="1" applyFill="1" applyBorder="1" applyAlignment="1">
      <alignment vertical="center"/>
    </xf>
    <xf numFmtId="41" fontId="13" fillId="0" borderId="58" xfId="2" applyFont="1" applyBorder="1" applyAlignment="1">
      <alignment vertical="center"/>
    </xf>
    <xf numFmtId="41" fontId="13" fillId="0" borderId="59" xfId="2" applyFont="1" applyBorder="1" applyAlignment="1">
      <alignment vertical="center"/>
    </xf>
    <xf numFmtId="41" fontId="13" fillId="0" borderId="60" xfId="2" applyFont="1" applyFill="1" applyBorder="1" applyAlignment="1">
      <alignment vertical="center"/>
    </xf>
    <xf numFmtId="0" fontId="20" fillId="0" borderId="41" xfId="3" applyFont="1" applyBorder="1" applyAlignment="1">
      <alignment vertical="center"/>
    </xf>
    <xf numFmtId="41" fontId="17" fillId="4" borderId="61" xfId="2" applyFont="1" applyFill="1" applyBorder="1" applyAlignment="1">
      <alignment vertical="center"/>
    </xf>
    <xf numFmtId="176" fontId="18" fillId="4" borderId="62" xfId="1" applyNumberFormat="1" applyFont="1" applyFill="1" applyBorder="1" applyAlignment="1">
      <alignment vertical="center"/>
    </xf>
    <xf numFmtId="0" fontId="20" fillId="0" borderId="63" xfId="3" applyFont="1" applyBorder="1" applyAlignment="1">
      <alignment vertical="center"/>
    </xf>
    <xf numFmtId="41" fontId="17" fillId="4" borderId="64" xfId="2" applyFont="1" applyFill="1" applyBorder="1" applyAlignment="1">
      <alignment vertical="center"/>
    </xf>
    <xf numFmtId="176" fontId="18" fillId="4" borderId="65" xfId="1" applyNumberFormat="1" applyFont="1" applyFill="1" applyBorder="1" applyAlignment="1">
      <alignment vertical="center"/>
    </xf>
    <xf numFmtId="176" fontId="18" fillId="4" borderId="66" xfId="1" applyNumberFormat="1" applyFont="1" applyFill="1" applyBorder="1" applyAlignment="1">
      <alignment vertical="center"/>
    </xf>
    <xf numFmtId="41" fontId="13" fillId="0" borderId="67" xfId="2" applyFont="1" applyBorder="1" applyAlignment="1">
      <alignment vertical="center"/>
    </xf>
    <xf numFmtId="41" fontId="13" fillId="0" borderId="48" xfId="2" applyFont="1" applyBorder="1" applyAlignment="1">
      <alignment vertical="center"/>
    </xf>
    <xf numFmtId="0" fontId="21" fillId="0" borderId="48" xfId="3" applyFont="1" applyBorder="1" applyAlignment="1">
      <alignment horizontal="center" vertical="center"/>
    </xf>
    <xf numFmtId="0" fontId="18" fillId="2" borderId="0" xfId="0" applyFont="1" applyFill="1">
      <alignment vertical="center"/>
    </xf>
    <xf numFmtId="41" fontId="18" fillId="0" borderId="0" xfId="2" applyFont="1">
      <alignment vertical="center"/>
    </xf>
    <xf numFmtId="0" fontId="18" fillId="0" borderId="0" xfId="0" applyFont="1">
      <alignment vertical="center"/>
    </xf>
    <xf numFmtId="0" fontId="21" fillId="0" borderId="0" xfId="0" applyFont="1">
      <alignment vertical="center"/>
    </xf>
    <xf numFmtId="41" fontId="21" fillId="0" borderId="0" xfId="2" applyFont="1">
      <alignment vertical="center"/>
    </xf>
    <xf numFmtId="0" fontId="18" fillId="4" borderId="26" xfId="0" applyFont="1" applyFill="1" applyBorder="1">
      <alignment vertical="center"/>
    </xf>
    <xf numFmtId="0" fontId="18" fillId="4" borderId="27" xfId="0" applyFont="1" applyFill="1" applyBorder="1">
      <alignment vertical="center"/>
    </xf>
    <xf numFmtId="41" fontId="18" fillId="4" borderId="24" xfId="2" applyFont="1" applyFill="1" applyBorder="1">
      <alignment vertical="center"/>
    </xf>
    <xf numFmtId="0" fontId="18" fillId="4" borderId="28" xfId="0" applyFont="1" applyFill="1" applyBorder="1">
      <alignment vertical="center"/>
    </xf>
    <xf numFmtId="41" fontId="18" fillId="0" borderId="24" xfId="2" applyFont="1" applyBorder="1">
      <alignment vertical="center"/>
    </xf>
    <xf numFmtId="41" fontId="18" fillId="0" borderId="24" xfId="0" applyNumberFormat="1" applyFont="1" applyBorder="1">
      <alignment vertical="center"/>
    </xf>
    <xf numFmtId="0" fontId="18" fillId="4" borderId="69" xfId="0" applyFont="1" applyFill="1" applyBorder="1">
      <alignment vertical="center"/>
    </xf>
    <xf numFmtId="0" fontId="18" fillId="4" borderId="25" xfId="0" applyFont="1" applyFill="1" applyBorder="1">
      <alignment vertical="center"/>
    </xf>
    <xf numFmtId="0" fontId="18" fillId="7" borderId="0" xfId="0" applyFont="1" applyFill="1">
      <alignment vertical="center"/>
    </xf>
    <xf numFmtId="41" fontId="18" fillId="0" borderId="0" xfId="2" applyFont="1" applyBorder="1">
      <alignment vertical="center"/>
    </xf>
    <xf numFmtId="41" fontId="18" fillId="0" borderId="0" xfId="0" applyNumberFormat="1" applyFont="1">
      <alignment vertical="center"/>
    </xf>
    <xf numFmtId="183" fontId="19" fillId="4" borderId="72" xfId="3" applyNumberFormat="1" applyFont="1" applyFill="1" applyBorder="1" applyAlignment="1">
      <alignment horizontal="center" wrapText="1"/>
    </xf>
    <xf numFmtId="179" fontId="19" fillId="4" borderId="73" xfId="0" applyNumberFormat="1" applyFont="1" applyFill="1" applyBorder="1" applyAlignment="1">
      <alignment horizontal="center" vertical="top" wrapText="1"/>
    </xf>
    <xf numFmtId="183" fontId="19" fillId="4" borderId="72" xfId="3" quotePrefix="1" applyNumberFormat="1" applyFont="1" applyFill="1" applyBorder="1" applyAlignment="1">
      <alignment horizontal="center"/>
    </xf>
    <xf numFmtId="183" fontId="19" fillId="4" borderId="73" xfId="3" applyNumberFormat="1" applyFont="1" applyFill="1" applyBorder="1" applyAlignment="1">
      <alignment horizontal="center" vertical="top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77" xfId="0" applyNumberFormat="1" applyFont="1" applyBorder="1" applyAlignment="1">
      <alignment horizontal="center" vertical="center"/>
    </xf>
    <xf numFmtId="179" fontId="15" fillId="0" borderId="79" xfId="0" applyNumberFormat="1" applyFont="1" applyBorder="1" applyAlignment="1">
      <alignment horizontal="center" vertical="center"/>
    </xf>
    <xf numFmtId="41" fontId="13" fillId="0" borderId="82" xfId="2" applyFont="1" applyFill="1" applyBorder="1" applyAlignment="1">
      <alignment vertical="center"/>
    </xf>
    <xf numFmtId="41" fontId="13" fillId="0" borderId="83" xfId="2" applyFont="1" applyFill="1" applyBorder="1" applyAlignment="1">
      <alignment vertical="center"/>
    </xf>
    <xf numFmtId="41" fontId="13" fillId="5" borderId="83" xfId="2" applyFont="1" applyFill="1" applyBorder="1" applyAlignment="1">
      <alignment vertical="center"/>
    </xf>
    <xf numFmtId="41" fontId="13" fillId="3" borderId="84" xfId="2" applyFont="1" applyFill="1" applyBorder="1" applyAlignment="1">
      <alignment vertical="center"/>
    </xf>
    <xf numFmtId="178" fontId="18" fillId="0" borderId="70" xfId="0" applyNumberFormat="1" applyFont="1" applyBorder="1">
      <alignment vertical="center"/>
    </xf>
    <xf numFmtId="178" fontId="18" fillId="0" borderId="71" xfId="0" applyNumberFormat="1" applyFont="1" applyBorder="1">
      <alignment vertical="center"/>
    </xf>
    <xf numFmtId="179" fontId="18" fillId="0" borderId="1" xfId="2" applyNumberFormat="1" applyFont="1" applyBorder="1" applyAlignment="1">
      <alignment horizontal="center" vertical="center"/>
    </xf>
    <xf numFmtId="179" fontId="18" fillId="0" borderId="2" xfId="2" applyNumberFormat="1" applyFont="1" applyBorder="1" applyAlignment="1">
      <alignment horizontal="center" vertical="center"/>
    </xf>
    <xf numFmtId="178" fontId="18" fillId="0" borderId="3" xfId="0" applyNumberFormat="1" applyFont="1" applyBorder="1" applyAlignment="1">
      <alignment horizontal="center" vertical="center"/>
    </xf>
    <xf numFmtId="41" fontId="18" fillId="0" borderId="9" xfId="2" applyFont="1" applyFill="1" applyBorder="1" applyAlignment="1">
      <alignment horizontal="center" vertical="center"/>
    </xf>
    <xf numFmtId="41" fontId="18" fillId="0" borderId="10" xfId="2" applyFont="1" applyFill="1" applyBorder="1" applyAlignment="1">
      <alignment horizontal="center" vertical="center"/>
    </xf>
    <xf numFmtId="41" fontId="18" fillId="0" borderId="11" xfId="2" applyFont="1" applyFill="1" applyBorder="1" applyAlignment="1">
      <alignment horizontal="center" vertical="center"/>
    </xf>
    <xf numFmtId="41" fontId="18" fillId="0" borderId="9" xfId="2" applyFont="1" applyBorder="1" applyAlignment="1">
      <alignment horizontal="center" vertical="center"/>
    </xf>
    <xf numFmtId="41" fontId="18" fillId="0" borderId="10" xfId="2" applyFont="1" applyBorder="1" applyAlignment="1">
      <alignment horizontal="center" vertical="center"/>
    </xf>
    <xf numFmtId="41" fontId="18" fillId="0" borderId="11" xfId="2" applyFont="1" applyBorder="1" applyAlignment="1">
      <alignment horizontal="center" vertical="center"/>
    </xf>
    <xf numFmtId="41" fontId="18" fillId="0" borderId="15" xfId="2" applyFont="1" applyBorder="1" applyAlignment="1">
      <alignment horizontal="center" vertical="center"/>
    </xf>
    <xf numFmtId="41" fontId="18" fillId="0" borderId="16" xfId="2" applyFont="1" applyBorder="1" applyAlignment="1">
      <alignment horizontal="center" vertical="center"/>
    </xf>
    <xf numFmtId="41" fontId="18" fillId="0" borderId="5" xfId="2" applyFont="1" applyFill="1" applyBorder="1" applyAlignment="1">
      <alignment horizontal="center" vertical="center"/>
    </xf>
    <xf numFmtId="41" fontId="18" fillId="0" borderId="17" xfId="2" applyFont="1" applyBorder="1" applyAlignment="1">
      <alignment horizontal="center" vertical="center"/>
    </xf>
    <xf numFmtId="41" fontId="18" fillId="0" borderId="5" xfId="2" applyFont="1" applyBorder="1" applyAlignment="1">
      <alignment horizontal="center" vertical="center"/>
    </xf>
    <xf numFmtId="41" fontId="18" fillId="0" borderId="6" xfId="2" applyFont="1" applyBorder="1" applyAlignment="1">
      <alignment horizontal="center" vertical="center"/>
    </xf>
    <xf numFmtId="41" fontId="18" fillId="0" borderId="7" xfId="2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41" fontId="17" fillId="4" borderId="67" xfId="2" applyFont="1" applyFill="1" applyBorder="1" applyAlignment="1">
      <alignment vertical="center"/>
    </xf>
    <xf numFmtId="176" fontId="18" fillId="4" borderId="36" xfId="1" applyNumberFormat="1" applyFont="1" applyFill="1" applyBorder="1" applyAlignment="1">
      <alignment vertical="center"/>
    </xf>
    <xf numFmtId="176" fontId="18" fillId="4" borderId="89" xfId="1" applyNumberFormat="1" applyFont="1" applyFill="1" applyBorder="1" applyAlignment="1">
      <alignment vertical="center"/>
    </xf>
    <xf numFmtId="41" fontId="13" fillId="0" borderId="47" xfId="2" applyFont="1" applyBorder="1" applyAlignment="1">
      <alignment vertical="center"/>
    </xf>
    <xf numFmtId="41" fontId="13" fillId="0" borderId="68" xfId="2" applyFont="1" applyFill="1" applyBorder="1" applyAlignment="1">
      <alignment vertical="center"/>
    </xf>
    <xf numFmtId="176" fontId="18" fillId="4" borderId="44" xfId="1" applyNumberFormat="1" applyFont="1" applyFill="1" applyBorder="1" applyAlignment="1">
      <alignment vertical="center"/>
    </xf>
    <xf numFmtId="41" fontId="13" fillId="0" borderId="90" xfId="2" applyFont="1" applyBorder="1" applyAlignment="1">
      <alignment vertical="center"/>
    </xf>
    <xf numFmtId="41" fontId="13" fillId="0" borderId="61" xfId="2" applyFont="1" applyBorder="1" applyAlignment="1">
      <alignment vertical="center"/>
    </xf>
    <xf numFmtId="41" fontId="13" fillId="0" borderId="91" xfId="2" applyFont="1" applyFill="1" applyBorder="1" applyAlignment="1">
      <alignment vertical="center"/>
    </xf>
    <xf numFmtId="41" fontId="13" fillId="0" borderId="92" xfId="2" applyFont="1" applyFill="1" applyBorder="1" applyAlignment="1">
      <alignment vertical="center"/>
    </xf>
    <xf numFmtId="41" fontId="13" fillId="7" borderId="62" xfId="2" applyFont="1" applyFill="1" applyBorder="1" applyAlignment="1">
      <alignment vertical="center"/>
    </xf>
    <xf numFmtId="41" fontId="13" fillId="7" borderId="89" xfId="2" applyFont="1" applyFill="1" applyBorder="1" applyAlignment="1">
      <alignment vertical="center"/>
    </xf>
    <xf numFmtId="176" fontId="6" fillId="0" borderId="0" xfId="3" applyNumberFormat="1" applyFont="1" applyAlignment="1">
      <alignment vertical="center"/>
    </xf>
    <xf numFmtId="188" fontId="13" fillId="0" borderId="0" xfId="3" applyNumberFormat="1" applyFont="1" applyAlignment="1">
      <alignment vertical="center"/>
    </xf>
    <xf numFmtId="0" fontId="20" fillId="0" borderId="93" xfId="3" applyFont="1" applyBorder="1" applyAlignment="1">
      <alignment vertical="center"/>
    </xf>
    <xf numFmtId="41" fontId="17" fillId="4" borderId="90" xfId="2" applyFont="1" applyFill="1" applyBorder="1" applyAlignment="1">
      <alignment vertical="center"/>
    </xf>
    <xf numFmtId="176" fontId="18" fillId="4" borderId="94" xfId="1" applyNumberFormat="1" applyFont="1" applyFill="1" applyBorder="1" applyAlignment="1">
      <alignment vertical="center"/>
    </xf>
    <xf numFmtId="176" fontId="18" fillId="4" borderId="95" xfId="1" applyNumberFormat="1" applyFont="1" applyFill="1" applyBorder="1" applyAlignment="1">
      <alignment vertical="center"/>
    </xf>
    <xf numFmtId="0" fontId="23" fillId="0" borderId="0" xfId="0" applyFont="1">
      <alignment vertical="center"/>
    </xf>
    <xf numFmtId="49" fontId="23" fillId="0" borderId="0" xfId="0" applyNumberFormat="1" applyFont="1">
      <alignment vertical="center"/>
    </xf>
    <xf numFmtId="41" fontId="18" fillId="0" borderId="44" xfId="0" applyNumberFormat="1" applyFont="1" applyBorder="1">
      <alignment vertical="center"/>
    </xf>
    <xf numFmtId="41" fontId="18" fillId="0" borderId="24" xfId="2" applyFont="1" applyFill="1" applyBorder="1">
      <alignment vertical="center"/>
    </xf>
    <xf numFmtId="0" fontId="21" fillId="0" borderId="0" xfId="3" applyFont="1" applyAlignment="1">
      <alignment horizontal="center" vertical="center"/>
    </xf>
    <xf numFmtId="41" fontId="10" fillId="0" borderId="0" xfId="0" applyNumberFormat="1" applyFont="1">
      <alignment vertical="center"/>
    </xf>
    <xf numFmtId="0" fontId="18" fillId="4" borderId="114" xfId="0" applyFont="1" applyFill="1" applyBorder="1">
      <alignment vertical="center"/>
    </xf>
    <xf numFmtId="0" fontId="21" fillId="0" borderId="62" xfId="3" applyFont="1" applyBorder="1" applyAlignment="1">
      <alignment horizontal="center" vertical="center"/>
    </xf>
    <xf numFmtId="182" fontId="15" fillId="0" borderId="97" xfId="0" applyNumberFormat="1" applyFont="1" applyBorder="1" applyAlignment="1">
      <alignment horizontal="center"/>
    </xf>
    <xf numFmtId="180" fontId="15" fillId="0" borderId="124" xfId="0" applyNumberFormat="1" applyFont="1" applyBorder="1" applyAlignment="1">
      <alignment horizontal="center" vertical="top"/>
    </xf>
    <xf numFmtId="177" fontId="15" fillId="0" borderId="1" xfId="2" applyNumberFormat="1" applyFont="1" applyBorder="1" applyAlignment="1">
      <alignment horizontal="center" vertical="center"/>
    </xf>
    <xf numFmtId="183" fontId="15" fillId="8" borderId="122" xfId="0" applyNumberFormat="1" applyFont="1" applyFill="1" applyBorder="1" applyAlignment="1">
      <alignment horizontal="center" wrapText="1"/>
    </xf>
    <xf numFmtId="180" fontId="15" fillId="8" borderId="103" xfId="0" applyNumberFormat="1" applyFont="1" applyFill="1" applyBorder="1" applyAlignment="1">
      <alignment horizontal="center" vertical="top"/>
    </xf>
    <xf numFmtId="177" fontId="15" fillId="8" borderId="102" xfId="2" applyNumberFormat="1" applyFont="1" applyFill="1" applyBorder="1" applyAlignment="1">
      <alignment horizontal="center" vertical="center"/>
    </xf>
    <xf numFmtId="183" fontId="15" fillId="0" borderId="122" xfId="0" applyNumberFormat="1" applyFont="1" applyBorder="1" applyAlignment="1">
      <alignment horizontal="center"/>
    </xf>
    <xf numFmtId="179" fontId="15" fillId="0" borderId="81" xfId="0" applyNumberFormat="1" applyFont="1" applyBorder="1" applyAlignment="1">
      <alignment horizontal="center" vertical="top"/>
    </xf>
    <xf numFmtId="177" fontId="15" fillId="7" borderId="102" xfId="2" applyNumberFormat="1" applyFont="1" applyFill="1" applyBorder="1" applyAlignment="1">
      <alignment horizontal="center" vertical="center"/>
    </xf>
    <xf numFmtId="179" fontId="15" fillId="0" borderId="21" xfId="0" applyNumberFormat="1" applyFont="1" applyBorder="1" applyAlignment="1">
      <alignment horizontal="center" vertical="top" wrapText="1"/>
    </xf>
    <xf numFmtId="181" fontId="15" fillId="8" borderId="122" xfId="0" applyNumberFormat="1" applyFont="1" applyFill="1" applyBorder="1" applyAlignment="1">
      <alignment horizontal="center" wrapText="1"/>
    </xf>
    <xf numFmtId="179" fontId="15" fillId="8" borderId="81" xfId="0" applyNumberFormat="1" applyFont="1" applyFill="1" applyBorder="1" applyAlignment="1">
      <alignment horizontal="center" vertical="top" wrapText="1"/>
    </xf>
    <xf numFmtId="185" fontId="15" fillId="0" borderId="125" xfId="1" applyNumberFormat="1" applyFont="1" applyBorder="1">
      <alignment vertical="center"/>
    </xf>
    <xf numFmtId="185" fontId="15" fillId="0" borderId="101" xfId="1" applyNumberFormat="1" applyFont="1" applyBorder="1">
      <alignment vertical="center"/>
    </xf>
    <xf numFmtId="0" fontId="15" fillId="0" borderId="0" xfId="0" applyFont="1" applyAlignment="1">
      <alignment horizontal="left" vertical="center"/>
    </xf>
    <xf numFmtId="0" fontId="17" fillId="5" borderId="126" xfId="3" applyFont="1" applyFill="1" applyBorder="1" applyAlignment="1">
      <alignment horizontal="center" vertical="center"/>
    </xf>
    <xf numFmtId="41" fontId="17" fillId="5" borderId="127" xfId="2" applyFont="1" applyFill="1" applyBorder="1" applyAlignment="1">
      <alignment vertical="center"/>
    </xf>
    <xf numFmtId="176" fontId="18" fillId="5" borderId="23" xfId="1" applyNumberFormat="1" applyFont="1" applyFill="1" applyBorder="1" applyAlignment="1">
      <alignment vertical="center"/>
    </xf>
    <xf numFmtId="176" fontId="18" fillId="5" borderId="128" xfId="1" applyNumberFormat="1" applyFont="1" applyFill="1" applyBorder="1" applyAlignment="1">
      <alignment vertical="center"/>
    </xf>
    <xf numFmtId="41" fontId="13" fillId="5" borderId="129" xfId="2" applyFont="1" applyFill="1" applyBorder="1" applyAlignment="1">
      <alignment vertical="center"/>
    </xf>
    <xf numFmtId="41" fontId="13" fillId="5" borderId="126" xfId="2" applyFont="1" applyFill="1" applyBorder="1" applyAlignment="1">
      <alignment vertical="center"/>
    </xf>
    <xf numFmtId="41" fontId="13" fillId="5" borderId="130" xfId="2" applyFont="1" applyFill="1" applyBorder="1" applyAlignment="1">
      <alignment vertical="center"/>
    </xf>
    <xf numFmtId="178" fontId="16" fillId="4" borderId="18" xfId="0" applyNumberFormat="1" applyFont="1" applyFill="1" applyBorder="1" applyAlignment="1">
      <alignment horizontal="center" vertical="center"/>
    </xf>
    <xf numFmtId="178" fontId="16" fillId="4" borderId="12" xfId="0" applyNumberFormat="1" applyFont="1" applyFill="1" applyBorder="1" applyAlignment="1">
      <alignment horizontal="center" vertical="center"/>
    </xf>
    <xf numFmtId="178" fontId="16" fillId="9" borderId="12" xfId="0" applyNumberFormat="1" applyFont="1" applyFill="1" applyBorder="1" applyAlignment="1">
      <alignment horizontal="center" vertical="center"/>
    </xf>
    <xf numFmtId="178" fontId="18" fillId="0" borderId="8" xfId="0" applyNumberFormat="1" applyFont="1" applyBorder="1" applyAlignment="1">
      <alignment horizontal="center" vertical="center"/>
    </xf>
    <xf numFmtId="178" fontId="18" fillId="0" borderId="14" xfId="0" applyNumberFormat="1" applyFont="1" applyBorder="1" applyAlignment="1">
      <alignment horizontal="center" vertical="center"/>
    </xf>
    <xf numFmtId="178" fontId="18" fillId="0" borderId="4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177" fontId="15" fillId="8" borderId="75" xfId="2" applyNumberFormat="1" applyFont="1" applyFill="1" applyBorder="1" applyAlignment="1">
      <alignment horizontal="center" vertical="center"/>
    </xf>
    <xf numFmtId="177" fontId="15" fillId="0" borderId="15" xfId="2" applyNumberFormat="1" applyFont="1" applyBorder="1" applyAlignment="1">
      <alignment horizontal="center" vertical="center"/>
    </xf>
    <xf numFmtId="185" fontId="15" fillId="0" borderId="74" xfId="1" applyNumberFormat="1" applyFont="1" applyBorder="1">
      <alignment vertical="center"/>
    </xf>
    <xf numFmtId="177" fontId="15" fillId="7" borderId="75" xfId="2" applyNumberFormat="1" applyFont="1" applyFill="1" applyBorder="1" applyAlignment="1">
      <alignment horizontal="center" vertical="center"/>
    </xf>
    <xf numFmtId="185" fontId="15" fillId="0" borderId="88" xfId="1" applyNumberFormat="1" applyFont="1" applyBorder="1">
      <alignment vertical="center"/>
    </xf>
    <xf numFmtId="176" fontId="15" fillId="0" borderId="76" xfId="1" applyNumberFormat="1" applyFont="1" applyBorder="1">
      <alignment vertical="center"/>
    </xf>
    <xf numFmtId="179" fontId="15" fillId="0" borderId="111" xfId="0" applyNumberFormat="1" applyFont="1" applyBorder="1" applyAlignment="1">
      <alignment horizontal="center" vertical="center"/>
    </xf>
    <xf numFmtId="41" fontId="15" fillId="10" borderId="5" xfId="2" applyFont="1" applyFill="1" applyBorder="1">
      <alignment vertical="center"/>
    </xf>
    <xf numFmtId="41" fontId="15" fillId="10" borderId="9" xfId="2" applyFont="1" applyFill="1" applyBorder="1">
      <alignment vertical="center"/>
    </xf>
    <xf numFmtId="41" fontId="15" fillId="10" borderId="133" xfId="2" applyFont="1" applyFill="1" applyBorder="1">
      <alignment vertical="center"/>
    </xf>
    <xf numFmtId="41" fontId="22" fillId="10" borderId="21" xfId="2" applyFont="1" applyFill="1" applyBorder="1">
      <alignment vertical="center"/>
    </xf>
    <xf numFmtId="0" fontId="22" fillId="13" borderId="22" xfId="0" applyFont="1" applyFill="1" applyBorder="1" applyAlignment="1">
      <alignment horizontal="center" vertical="center"/>
    </xf>
    <xf numFmtId="41" fontId="15" fillId="13" borderId="99" xfId="2" applyFont="1" applyFill="1" applyBorder="1">
      <alignment vertical="center"/>
    </xf>
    <xf numFmtId="41" fontId="22" fillId="13" borderId="22" xfId="2" applyFont="1" applyFill="1" applyBorder="1">
      <alignment vertical="center"/>
    </xf>
    <xf numFmtId="41" fontId="15" fillId="12" borderId="93" xfId="2" applyFont="1" applyFill="1" applyBorder="1">
      <alignment vertical="center"/>
    </xf>
    <xf numFmtId="41" fontId="15" fillId="12" borderId="120" xfId="2" applyFont="1" applyFill="1" applyBorder="1">
      <alignment vertical="center"/>
    </xf>
    <xf numFmtId="41" fontId="15" fillId="12" borderId="132" xfId="2" applyFont="1" applyFill="1" applyBorder="1">
      <alignment vertical="center"/>
    </xf>
    <xf numFmtId="41" fontId="22" fillId="12" borderId="30" xfId="2" applyFont="1" applyFill="1" applyBorder="1">
      <alignment vertical="center"/>
    </xf>
    <xf numFmtId="41" fontId="15" fillId="11" borderId="93" xfId="2" applyFont="1" applyFill="1" applyBorder="1">
      <alignment vertical="center"/>
    </xf>
    <xf numFmtId="41" fontId="15" fillId="11" borderId="120" xfId="2" applyFont="1" applyFill="1" applyBorder="1">
      <alignment vertical="center"/>
    </xf>
    <xf numFmtId="41" fontId="15" fillId="11" borderId="132" xfId="2" applyFont="1" applyFill="1" applyBorder="1">
      <alignment vertical="center"/>
    </xf>
    <xf numFmtId="41" fontId="22" fillId="11" borderId="30" xfId="2" applyFont="1" applyFill="1" applyBorder="1">
      <alignment vertical="center"/>
    </xf>
    <xf numFmtId="0" fontId="22" fillId="11" borderId="29" xfId="0" applyFont="1" applyFill="1" applyBorder="1" applyAlignment="1">
      <alignment horizontal="center" vertical="center"/>
    </xf>
    <xf numFmtId="0" fontId="22" fillId="12" borderId="29" xfId="0" applyFont="1" applyFill="1" applyBorder="1" applyAlignment="1">
      <alignment horizontal="center" vertical="center"/>
    </xf>
    <xf numFmtId="41" fontId="15" fillId="13" borderId="11" xfId="2" applyFont="1" applyFill="1" applyBorder="1">
      <alignment vertical="center"/>
    </xf>
    <xf numFmtId="41" fontId="15" fillId="13" borderId="87" xfId="2" applyFont="1" applyFill="1" applyBorder="1">
      <alignment vertical="center"/>
    </xf>
    <xf numFmtId="0" fontId="22" fillId="10" borderId="19" xfId="0" applyFont="1" applyFill="1" applyBorder="1" applyAlignment="1">
      <alignment horizontal="center" vertical="center"/>
    </xf>
    <xf numFmtId="0" fontId="22" fillId="11" borderId="134" xfId="0" applyFont="1" applyFill="1" applyBorder="1" applyAlignment="1">
      <alignment horizontal="center" vertical="center"/>
    </xf>
    <xf numFmtId="41" fontId="15" fillId="11" borderId="135" xfId="2" applyFont="1" applyFill="1" applyBorder="1">
      <alignment vertical="center"/>
    </xf>
    <xf numFmtId="41" fontId="15" fillId="11" borderId="136" xfId="2" applyFont="1" applyFill="1" applyBorder="1">
      <alignment vertical="center"/>
    </xf>
    <xf numFmtId="41" fontId="15" fillId="11" borderId="137" xfId="2" applyFont="1" applyFill="1" applyBorder="1">
      <alignment vertical="center"/>
    </xf>
    <xf numFmtId="41" fontId="22" fillId="11" borderId="138" xfId="2" applyFont="1" applyFill="1" applyBorder="1">
      <alignment vertical="center"/>
    </xf>
    <xf numFmtId="0" fontId="22" fillId="12" borderId="134" xfId="0" applyFont="1" applyFill="1" applyBorder="1" applyAlignment="1">
      <alignment horizontal="center" vertical="center"/>
    </xf>
    <xf numFmtId="41" fontId="15" fillId="12" borderId="135" xfId="2" applyFont="1" applyFill="1" applyBorder="1">
      <alignment vertical="center"/>
    </xf>
    <xf numFmtId="41" fontId="15" fillId="12" borderId="136" xfId="2" applyFont="1" applyFill="1" applyBorder="1">
      <alignment vertical="center"/>
    </xf>
    <xf numFmtId="41" fontId="15" fillId="12" borderId="137" xfId="2" applyFont="1" applyFill="1" applyBorder="1">
      <alignment vertical="center"/>
    </xf>
    <xf numFmtId="41" fontId="22" fillId="12" borderId="138" xfId="2" applyFont="1" applyFill="1" applyBorder="1">
      <alignment vertical="center"/>
    </xf>
    <xf numFmtId="0" fontId="22" fillId="13" borderId="134" xfId="0" applyFont="1" applyFill="1" applyBorder="1" applyAlignment="1">
      <alignment horizontal="center" vertical="center"/>
    </xf>
    <xf numFmtId="41" fontId="15" fillId="13" borderId="135" xfId="2" applyFont="1" applyFill="1" applyBorder="1">
      <alignment vertical="center"/>
    </xf>
    <xf numFmtId="41" fontId="15" fillId="13" borderId="136" xfId="2" applyFont="1" applyFill="1" applyBorder="1">
      <alignment vertical="center"/>
    </xf>
    <xf numFmtId="41" fontId="15" fillId="13" borderId="137" xfId="2" applyFont="1" applyFill="1" applyBorder="1">
      <alignment vertical="center"/>
    </xf>
    <xf numFmtId="41" fontId="22" fillId="13" borderId="138" xfId="2" applyFont="1" applyFill="1" applyBorder="1">
      <alignment vertical="center"/>
    </xf>
    <xf numFmtId="0" fontId="13" fillId="0" borderId="59" xfId="3" applyFont="1" applyBorder="1" applyAlignment="1">
      <alignment horizontal="center" vertical="center"/>
    </xf>
    <xf numFmtId="0" fontId="13" fillId="12" borderId="144" xfId="3" applyFont="1" applyFill="1" applyBorder="1" applyAlignment="1">
      <alignment horizontal="center" vertical="center"/>
    </xf>
    <xf numFmtId="0" fontId="13" fillId="12" borderId="41" xfId="3" applyFont="1" applyFill="1" applyBorder="1" applyAlignment="1">
      <alignment horizontal="center" vertical="center"/>
    </xf>
    <xf numFmtId="0" fontId="13" fillId="0" borderId="28" xfId="3" applyFont="1" applyBorder="1" applyAlignment="1">
      <alignment horizontal="center" vertical="center"/>
    </xf>
    <xf numFmtId="0" fontId="13" fillId="14" borderId="145" xfId="3" applyFont="1" applyFill="1" applyBorder="1" applyAlignment="1">
      <alignment horizontal="center" vertical="center"/>
    </xf>
    <xf numFmtId="0" fontId="13" fillId="14" borderId="69" xfId="3" applyFont="1" applyFill="1" applyBorder="1" applyAlignment="1">
      <alignment horizontal="center" vertical="center"/>
    </xf>
    <xf numFmtId="41" fontId="17" fillId="9" borderId="141" xfId="2" applyFont="1" applyFill="1" applyBorder="1" applyAlignment="1">
      <alignment vertical="center"/>
    </xf>
    <xf numFmtId="176" fontId="18" fillId="9" borderId="94" xfId="1" applyNumberFormat="1" applyFont="1" applyFill="1" applyBorder="1" applyAlignment="1">
      <alignment vertical="center"/>
    </xf>
    <xf numFmtId="176" fontId="18" fillId="9" borderId="142" xfId="1" applyNumberFormat="1" applyFont="1" applyFill="1" applyBorder="1" applyAlignment="1">
      <alignment vertical="center"/>
    </xf>
    <xf numFmtId="41" fontId="17" fillId="9" borderId="73" xfId="2" applyFont="1" applyFill="1" applyBorder="1" applyAlignment="1">
      <alignment vertical="center"/>
    </xf>
    <xf numFmtId="176" fontId="18" fillId="9" borderId="139" xfId="1" applyNumberFormat="1" applyFont="1" applyFill="1" applyBorder="1" applyAlignment="1">
      <alignment vertical="center"/>
    </xf>
    <xf numFmtId="176" fontId="18" fillId="9" borderId="140" xfId="1" applyNumberFormat="1" applyFont="1" applyFill="1" applyBorder="1" applyAlignment="1">
      <alignment vertical="center"/>
    </xf>
    <xf numFmtId="41" fontId="13" fillId="0" borderId="58" xfId="2" applyFont="1" applyFill="1" applyBorder="1" applyAlignment="1">
      <alignment vertical="center"/>
    </xf>
    <xf numFmtId="41" fontId="13" fillId="0" borderId="143" xfId="2" applyFont="1" applyFill="1" applyBorder="1" applyAlignment="1">
      <alignment vertical="center"/>
    </xf>
    <xf numFmtId="41" fontId="13" fillId="0" borderId="38" xfId="2" applyFont="1" applyFill="1" applyBorder="1" applyAlignment="1">
      <alignment vertical="center"/>
    </xf>
    <xf numFmtId="41" fontId="13" fillId="0" borderId="93" xfId="2" applyFont="1" applyFill="1" applyBorder="1" applyAlignment="1">
      <alignment vertical="center"/>
    </xf>
    <xf numFmtId="41" fontId="13" fillId="0" borderId="40" xfId="2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177" fontId="15" fillId="8" borderId="78" xfId="2" applyNumberFormat="1" applyFont="1" applyFill="1" applyBorder="1" applyAlignment="1">
      <alignment horizontal="center" vertical="center"/>
    </xf>
    <xf numFmtId="177" fontId="15" fillId="0" borderId="9" xfId="2" applyNumberFormat="1" applyFont="1" applyBorder="1" applyAlignment="1">
      <alignment horizontal="center" vertical="center"/>
    </xf>
    <xf numFmtId="185" fontId="15" fillId="0" borderId="77" xfId="1" applyNumberFormat="1" applyFont="1" applyBorder="1">
      <alignment vertical="center"/>
    </xf>
    <xf numFmtId="177" fontId="15" fillId="7" borderId="78" xfId="2" applyNumberFormat="1" applyFont="1" applyFill="1" applyBorder="1" applyAlignment="1">
      <alignment horizontal="center" vertical="center"/>
    </xf>
    <xf numFmtId="185" fontId="15" fillId="0" borderId="120" xfId="1" applyNumberFormat="1" applyFont="1" applyBorder="1">
      <alignment vertical="center"/>
    </xf>
    <xf numFmtId="185" fontId="15" fillId="0" borderId="11" xfId="1" applyNumberFormat="1" applyFont="1" applyBorder="1">
      <alignment vertical="center"/>
    </xf>
    <xf numFmtId="177" fontId="15" fillId="8" borderId="81" xfId="2" applyNumberFormat="1" applyFont="1" applyFill="1" applyBorder="1" applyAlignment="1">
      <alignment horizontal="center" vertical="center"/>
    </xf>
    <xf numFmtId="177" fontId="15" fillId="0" borderId="21" xfId="2" applyNumberFormat="1" applyFont="1" applyBorder="1" applyAlignment="1">
      <alignment horizontal="center" vertical="center"/>
    </xf>
    <xf numFmtId="185" fontId="15" fillId="0" borderId="30" xfId="1" applyNumberFormat="1" applyFont="1" applyBorder="1">
      <alignment vertical="center"/>
    </xf>
    <xf numFmtId="177" fontId="15" fillId="7" borderId="81" xfId="2" applyNumberFormat="1" applyFont="1" applyFill="1" applyBorder="1" applyAlignment="1">
      <alignment horizontal="center" vertical="center"/>
    </xf>
    <xf numFmtId="185" fontId="15" fillId="0" borderId="22" xfId="1" applyNumberFormat="1" applyFont="1" applyBorder="1">
      <alignment vertical="center"/>
    </xf>
    <xf numFmtId="177" fontId="18" fillId="10" borderId="78" xfId="2" applyNumberFormat="1" applyFont="1" applyFill="1" applyBorder="1" applyAlignment="1">
      <alignment horizontal="center" vertical="center"/>
    </xf>
    <xf numFmtId="177" fontId="18" fillId="0" borderId="9" xfId="2" applyNumberFormat="1" applyFont="1" applyBorder="1" applyAlignment="1">
      <alignment horizontal="center" vertical="center"/>
    </xf>
    <xf numFmtId="185" fontId="18" fillId="0" borderId="77" xfId="1" applyNumberFormat="1" applyFont="1" applyBorder="1">
      <alignment vertical="center"/>
    </xf>
    <xf numFmtId="177" fontId="18" fillId="7" borderId="78" xfId="2" applyNumberFormat="1" applyFont="1" applyFill="1" applyBorder="1" applyAlignment="1">
      <alignment horizontal="center" vertical="center"/>
    </xf>
    <xf numFmtId="185" fontId="18" fillId="0" borderId="120" xfId="1" applyNumberFormat="1" applyFont="1" applyBorder="1">
      <alignment vertical="center"/>
    </xf>
    <xf numFmtId="176" fontId="18" fillId="0" borderId="13" xfId="1" applyNumberFormat="1" applyFont="1" applyBorder="1">
      <alignment vertical="center"/>
    </xf>
    <xf numFmtId="185" fontId="18" fillId="0" borderId="77" xfId="1" applyNumberFormat="1" applyFont="1" applyBorder="1" applyAlignment="1">
      <alignment vertical="center" shrinkToFit="1"/>
    </xf>
    <xf numFmtId="185" fontId="18" fillId="0" borderId="11" xfId="1" applyNumberFormat="1" applyFont="1" applyBorder="1">
      <alignment vertical="center"/>
    </xf>
    <xf numFmtId="0" fontId="18" fillId="0" borderId="11" xfId="0" applyFont="1" applyBorder="1" applyAlignment="1">
      <alignment horizontal="center" vertical="center"/>
    </xf>
    <xf numFmtId="0" fontId="22" fillId="0" borderId="107" xfId="0" applyFont="1" applyBorder="1">
      <alignment vertical="center"/>
    </xf>
    <xf numFmtId="0" fontId="22" fillId="0" borderId="121" xfId="0" applyFont="1" applyBorder="1">
      <alignment vertical="center"/>
    </xf>
    <xf numFmtId="0" fontId="13" fillId="12" borderId="33" xfId="3" applyFont="1" applyFill="1" applyBorder="1" applyAlignment="1">
      <alignment horizontal="center" vertical="center"/>
    </xf>
    <xf numFmtId="0" fontId="13" fillId="12" borderId="96" xfId="3" applyFont="1" applyFill="1" applyBorder="1" applyAlignment="1">
      <alignment horizontal="center" vertical="center"/>
    </xf>
    <xf numFmtId="41" fontId="13" fillId="5" borderId="26" xfId="2" applyFont="1" applyFill="1" applyBorder="1" applyAlignment="1">
      <alignment vertical="center"/>
    </xf>
    <xf numFmtId="0" fontId="13" fillId="14" borderId="0" xfId="3" applyFont="1" applyFill="1" applyAlignment="1">
      <alignment vertical="center" wrapText="1"/>
    </xf>
    <xf numFmtId="0" fontId="13" fillId="14" borderId="28" xfId="3" applyFont="1" applyFill="1" applyBorder="1" applyAlignment="1">
      <alignment vertical="center" wrapText="1"/>
    </xf>
    <xf numFmtId="0" fontId="13" fillId="5" borderId="129" xfId="3" applyFont="1" applyFill="1" applyBorder="1" applyAlignment="1">
      <alignment horizontal="center" vertical="center" wrapText="1"/>
    </xf>
    <xf numFmtId="0" fontId="13" fillId="5" borderId="96" xfId="3" applyFont="1" applyFill="1" applyBorder="1" applyAlignment="1">
      <alignment horizontal="center" vertical="center" wrapText="1"/>
    </xf>
    <xf numFmtId="0" fontId="13" fillId="5" borderId="147" xfId="3" applyFont="1" applyFill="1" applyBorder="1" applyAlignment="1">
      <alignment horizontal="center" vertical="center" wrapText="1"/>
    </xf>
    <xf numFmtId="0" fontId="13" fillId="14" borderId="114" xfId="3" applyFont="1" applyFill="1" applyBorder="1" applyAlignment="1">
      <alignment vertical="center" wrapText="1"/>
    </xf>
    <xf numFmtId="41" fontId="17" fillId="15" borderId="46" xfId="2" applyFont="1" applyFill="1" applyBorder="1" applyAlignment="1">
      <alignment vertical="center"/>
    </xf>
    <xf numFmtId="176" fontId="18" fillId="15" borderId="36" xfId="1" applyNumberFormat="1" applyFont="1" applyFill="1" applyBorder="1" applyAlignment="1">
      <alignment vertical="center"/>
    </xf>
    <xf numFmtId="176" fontId="18" fillId="15" borderId="37" xfId="1" applyNumberFormat="1" applyFont="1" applyFill="1" applyBorder="1" applyAlignment="1">
      <alignment vertical="center"/>
    </xf>
    <xf numFmtId="41" fontId="13" fillId="15" borderId="47" xfId="2" applyFont="1" applyFill="1" applyBorder="1" applyAlignment="1">
      <alignment vertical="center"/>
    </xf>
    <xf numFmtId="41" fontId="13" fillId="15" borderId="84" xfId="2" applyFont="1" applyFill="1" applyBorder="1" applyAlignment="1">
      <alignment vertical="center"/>
    </xf>
    <xf numFmtId="0" fontId="13" fillId="15" borderId="41" xfId="3" applyFont="1" applyFill="1" applyBorder="1" applyAlignment="1">
      <alignment vertical="center" wrapText="1"/>
    </xf>
    <xf numFmtId="0" fontId="13" fillId="15" borderId="108" xfId="3" applyFont="1" applyFill="1" applyBorder="1" applyAlignment="1">
      <alignment vertical="center"/>
    </xf>
    <xf numFmtId="41" fontId="17" fillId="16" borderId="46" xfId="2" applyFont="1" applyFill="1" applyBorder="1" applyAlignment="1">
      <alignment vertical="center"/>
    </xf>
    <xf numFmtId="176" fontId="18" fillId="16" borderId="36" xfId="1" applyNumberFormat="1" applyFont="1" applyFill="1" applyBorder="1" applyAlignment="1">
      <alignment vertical="center"/>
    </xf>
    <xf numFmtId="176" fontId="18" fillId="16" borderId="37" xfId="1" applyNumberFormat="1" applyFont="1" applyFill="1" applyBorder="1" applyAlignment="1">
      <alignment vertical="center"/>
    </xf>
    <xf numFmtId="41" fontId="13" fillId="16" borderId="47" xfId="2" applyFont="1" applyFill="1" applyBorder="1" applyAlignment="1">
      <alignment vertical="center"/>
    </xf>
    <xf numFmtId="41" fontId="13" fillId="16" borderId="84" xfId="2" applyFont="1" applyFill="1" applyBorder="1" applyAlignment="1">
      <alignment vertical="center"/>
    </xf>
    <xf numFmtId="0" fontId="13" fillId="16" borderId="96" xfId="3" applyFont="1" applyFill="1" applyBorder="1" applyAlignment="1">
      <alignment vertical="center" wrapText="1"/>
    </xf>
    <xf numFmtId="0" fontId="13" fillId="16" borderId="0" xfId="3" applyFont="1" applyFill="1" applyAlignment="1">
      <alignment vertical="center" wrapText="1"/>
    </xf>
    <xf numFmtId="41" fontId="25" fillId="0" borderId="0" xfId="2" applyFont="1">
      <alignment vertical="center"/>
    </xf>
    <xf numFmtId="179" fontId="9" fillId="0" borderId="0" xfId="3" applyNumberFormat="1" applyFont="1" applyAlignment="1">
      <alignment horizontal="center" vertical="center"/>
    </xf>
    <xf numFmtId="41" fontId="16" fillId="9" borderId="9" xfId="2" applyFont="1" applyFill="1" applyBorder="1" applyAlignment="1">
      <alignment horizontal="center" vertical="center"/>
    </xf>
    <xf numFmtId="41" fontId="16" fillId="9" borderId="13" xfId="2" applyFont="1" applyFill="1" applyBorder="1" applyAlignment="1">
      <alignment horizontal="center" vertical="center"/>
    </xf>
    <xf numFmtId="41" fontId="16" fillId="4" borderId="9" xfId="2" applyFont="1" applyFill="1" applyBorder="1" applyAlignment="1">
      <alignment horizontal="center" vertical="center"/>
    </xf>
    <xf numFmtId="41" fontId="16" fillId="4" borderId="85" xfId="2" applyFont="1" applyFill="1" applyBorder="1" applyAlignment="1">
      <alignment horizontal="center" vertical="center"/>
    </xf>
    <xf numFmtId="41" fontId="16" fillId="4" borderId="13" xfId="2" applyFont="1" applyFill="1" applyBorder="1" applyAlignment="1">
      <alignment horizontal="center" vertical="center"/>
    </xf>
    <xf numFmtId="41" fontId="16" fillId="4" borderId="19" xfId="2" applyFont="1" applyFill="1" applyBorder="1" applyAlignment="1">
      <alignment horizontal="center" vertical="center"/>
    </xf>
    <xf numFmtId="41" fontId="16" fillId="4" borderId="20" xfId="2" applyFont="1" applyFill="1" applyBorder="1" applyAlignment="1">
      <alignment horizontal="center" vertical="center"/>
    </xf>
    <xf numFmtId="41" fontId="16" fillId="5" borderId="21" xfId="2" applyFont="1" applyFill="1" applyBorder="1" applyAlignment="1">
      <alignment horizontal="center" vertical="center"/>
    </xf>
    <xf numFmtId="41" fontId="16" fillId="5" borderId="22" xfId="2" applyFont="1" applyFill="1" applyBorder="1" applyAlignment="1">
      <alignment horizontal="center" vertical="center"/>
    </xf>
    <xf numFmtId="41" fontId="16" fillId="4" borderId="21" xfId="2" applyFont="1" applyFill="1" applyBorder="1" applyAlignment="1">
      <alignment horizontal="center" vertical="center"/>
    </xf>
    <xf numFmtId="41" fontId="16" fillId="4" borderId="22" xfId="2" applyFont="1" applyFill="1" applyBorder="1" applyAlignment="1">
      <alignment horizontal="center" vertical="center"/>
    </xf>
    <xf numFmtId="41" fontId="17" fillId="4" borderId="0" xfId="2" applyFont="1" applyFill="1" applyBorder="1" applyAlignment="1">
      <alignment vertical="center"/>
    </xf>
    <xf numFmtId="176" fontId="18" fillId="4" borderId="0" xfId="1" applyNumberFormat="1" applyFont="1" applyFill="1" applyBorder="1" applyAlignment="1">
      <alignment vertical="center"/>
    </xf>
    <xf numFmtId="41" fontId="13" fillId="0" borderId="0" xfId="2" applyFont="1" applyBorder="1" applyAlignment="1">
      <alignment vertical="center"/>
    </xf>
    <xf numFmtId="41" fontId="13" fillId="7" borderId="0" xfId="2" applyFont="1" applyFill="1" applyBorder="1" applyAlignment="1">
      <alignment vertical="center"/>
    </xf>
    <xf numFmtId="0" fontId="21" fillId="0" borderId="148" xfId="3" applyFont="1" applyBorder="1" applyAlignment="1">
      <alignment horizontal="center" vertical="center"/>
    </xf>
    <xf numFmtId="41" fontId="17" fillId="4" borderId="149" xfId="2" applyFont="1" applyFill="1" applyBorder="1" applyAlignment="1">
      <alignment vertical="center"/>
    </xf>
    <xf numFmtId="176" fontId="18" fillId="4" borderId="114" xfId="1" applyNumberFormat="1" applyFont="1" applyFill="1" applyBorder="1" applyAlignment="1">
      <alignment vertical="center"/>
    </xf>
    <xf numFmtId="41" fontId="13" fillId="0" borderId="149" xfId="2" applyFont="1" applyBorder="1" applyAlignment="1">
      <alignment vertical="center"/>
    </xf>
    <xf numFmtId="41" fontId="13" fillId="7" borderId="148" xfId="2" applyFont="1" applyFill="1" applyBorder="1" applyAlignment="1">
      <alignment vertical="center"/>
    </xf>
    <xf numFmtId="176" fontId="18" fillId="4" borderId="148" xfId="1" applyNumberFormat="1" applyFont="1" applyFill="1" applyBorder="1" applyAlignment="1">
      <alignment vertical="center"/>
    </xf>
    <xf numFmtId="41" fontId="13" fillId="0" borderId="150" xfId="2" applyFont="1" applyFill="1" applyBorder="1" applyAlignment="1">
      <alignment vertical="center"/>
    </xf>
    <xf numFmtId="177" fontId="17" fillId="17" borderId="55" xfId="3" applyNumberFormat="1" applyFont="1" applyFill="1" applyBorder="1" applyAlignment="1">
      <alignment vertical="center"/>
    </xf>
    <xf numFmtId="176" fontId="18" fillId="17" borderId="56" xfId="3" applyNumberFormat="1" applyFont="1" applyFill="1" applyBorder="1" applyAlignment="1">
      <alignment vertical="center"/>
    </xf>
    <xf numFmtId="176" fontId="18" fillId="17" borderId="57" xfId="3" applyNumberFormat="1" applyFont="1" applyFill="1" applyBorder="1" applyAlignment="1">
      <alignment vertical="center"/>
    </xf>
    <xf numFmtId="41" fontId="13" fillId="17" borderId="90" xfId="3" applyNumberFormat="1" applyFont="1" applyFill="1" applyBorder="1" applyAlignment="1">
      <alignment vertical="center"/>
    </xf>
    <xf numFmtId="41" fontId="13" fillId="17" borderId="95" xfId="3" applyNumberFormat="1" applyFont="1" applyFill="1" applyBorder="1" applyAlignment="1">
      <alignment vertical="center"/>
    </xf>
    <xf numFmtId="41" fontId="13" fillId="17" borderId="60" xfId="3" applyNumberFormat="1" applyFont="1" applyFill="1" applyBorder="1" applyAlignment="1">
      <alignment vertical="center"/>
    </xf>
    <xf numFmtId="0" fontId="20" fillId="17" borderId="41" xfId="3" applyFont="1" applyFill="1" applyBorder="1" applyAlignment="1">
      <alignment vertical="center"/>
    </xf>
    <xf numFmtId="0" fontId="20" fillId="17" borderId="63" xfId="3" applyFont="1" applyFill="1" applyBorder="1" applyAlignment="1">
      <alignment vertical="center"/>
    </xf>
    <xf numFmtId="41" fontId="13" fillId="0" borderId="151" xfId="2" applyFont="1" applyFill="1" applyBorder="1" applyAlignment="1">
      <alignment vertical="center"/>
    </xf>
    <xf numFmtId="41" fontId="13" fillId="0" borderId="152" xfId="2" applyFont="1" applyFill="1" applyBorder="1" applyAlignment="1">
      <alignment vertical="center"/>
    </xf>
    <xf numFmtId="41" fontId="18" fillId="0" borderId="153" xfId="2" applyFont="1" applyBorder="1" applyAlignment="1">
      <alignment horizontal="center" vertical="center"/>
    </xf>
    <xf numFmtId="41" fontId="18" fillId="0" borderId="15" xfId="2" applyFont="1" applyFill="1" applyBorder="1" applyAlignment="1">
      <alignment horizontal="center" vertical="center"/>
    </xf>
    <xf numFmtId="41" fontId="13" fillId="0" borderId="0" xfId="0" applyNumberFormat="1" applyFont="1">
      <alignment vertical="center"/>
    </xf>
    <xf numFmtId="0" fontId="22" fillId="0" borderId="7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87" fontId="28" fillId="0" borderId="0" xfId="0" applyNumberFormat="1" applyFont="1" applyAlignment="1">
      <alignment horizontal="left" vertical="center"/>
    </xf>
    <xf numFmtId="187" fontId="3" fillId="0" borderId="0" xfId="0" applyNumberFormat="1" applyFont="1" applyAlignment="1">
      <alignment horizontal="left" vertical="center"/>
    </xf>
    <xf numFmtId="49" fontId="18" fillId="0" borderId="106" xfId="0" applyNumberFormat="1" applyFont="1" applyBorder="1" applyAlignment="1">
      <alignment horizontal="center" vertical="center" wrapText="1"/>
    </xf>
    <xf numFmtId="49" fontId="18" fillId="0" borderId="80" xfId="0" applyNumberFormat="1" applyFont="1" applyBorder="1" applyAlignment="1">
      <alignment horizontal="center" vertical="center" wrapText="1"/>
    </xf>
    <xf numFmtId="49" fontId="15" fillId="0" borderId="123" xfId="0" applyNumberFormat="1" applyFont="1" applyBorder="1" applyAlignment="1">
      <alignment horizontal="center" vertical="center" wrapText="1"/>
    </xf>
    <xf numFmtId="49" fontId="15" fillId="0" borderId="30" xfId="0" applyNumberFormat="1" applyFont="1" applyBorder="1" applyAlignment="1">
      <alignment horizontal="center" vertical="center" wrapText="1"/>
    </xf>
    <xf numFmtId="49" fontId="18" fillId="0" borderId="98" xfId="0" applyNumberFormat="1" applyFont="1" applyBorder="1" applyAlignment="1">
      <alignment horizontal="center" vertical="center" wrapText="1"/>
    </xf>
    <xf numFmtId="49" fontId="18" fillId="0" borderId="29" xfId="0" applyNumberFormat="1" applyFont="1" applyBorder="1" applyAlignment="1">
      <alignment horizontal="center" vertical="center" wrapText="1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31" xfId="0" applyFont="1" applyBorder="1" applyAlignment="1">
      <alignment horizontal="center" vertical="center"/>
    </xf>
    <xf numFmtId="0" fontId="22" fillId="0" borderId="76" xfId="0" applyFont="1" applyBorder="1" applyAlignment="1">
      <alignment horizontal="center" vertical="center"/>
    </xf>
    <xf numFmtId="49" fontId="15" fillId="0" borderId="105" xfId="0" applyNumberFormat="1" applyFont="1" applyBorder="1" applyAlignment="1">
      <alignment horizontal="center" vertical="center"/>
    </xf>
    <xf numFmtId="49" fontId="15" fillId="0" borderId="113" xfId="0" applyNumberFormat="1" applyFont="1" applyBorder="1" applyAlignment="1">
      <alignment horizontal="center" vertical="center"/>
    </xf>
    <xf numFmtId="49" fontId="15" fillId="0" borderId="104" xfId="0" applyNumberFormat="1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0" fontId="19" fillId="0" borderId="115" xfId="3" applyFont="1" applyBorder="1" applyAlignment="1">
      <alignment horizontal="center" vertical="center"/>
    </xf>
    <xf numFmtId="0" fontId="19" fillId="0" borderId="119" xfId="3" applyFont="1" applyBorder="1" applyAlignment="1">
      <alignment horizontal="center" vertical="center"/>
    </xf>
    <xf numFmtId="0" fontId="13" fillId="16" borderId="28" xfId="3" applyFont="1" applyFill="1" applyBorder="1" applyAlignment="1">
      <alignment horizontal="center" vertical="center"/>
    </xf>
    <xf numFmtId="0" fontId="13" fillId="16" borderId="0" xfId="3" applyFont="1" applyFill="1" applyAlignment="1">
      <alignment horizontal="center" vertical="center"/>
    </xf>
    <xf numFmtId="0" fontId="13" fillId="16" borderId="100" xfId="3" applyFont="1" applyFill="1" applyBorder="1" applyAlignment="1">
      <alignment horizontal="center" vertical="center"/>
    </xf>
    <xf numFmtId="0" fontId="19" fillId="17" borderId="115" xfId="3" applyFont="1" applyFill="1" applyBorder="1" applyAlignment="1">
      <alignment horizontal="center" vertical="center"/>
    </xf>
    <xf numFmtId="0" fontId="19" fillId="17" borderId="143" xfId="3" applyFont="1" applyFill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24" fillId="6" borderId="115" xfId="3" applyFont="1" applyFill="1" applyBorder="1" applyAlignment="1">
      <alignment horizontal="center" vertical="center"/>
    </xf>
    <xf numFmtId="0" fontId="24" fillId="6" borderId="116" xfId="3" applyFont="1" applyFill="1" applyBorder="1" applyAlignment="1">
      <alignment horizontal="center" vertical="center"/>
    </xf>
    <xf numFmtId="0" fontId="24" fillId="6" borderId="111" xfId="3" applyFont="1" applyFill="1" applyBorder="1" applyAlignment="1">
      <alignment horizontal="center" vertical="center"/>
    </xf>
    <xf numFmtId="0" fontId="24" fillId="6" borderId="93" xfId="3" applyFont="1" applyFill="1" applyBorder="1" applyAlignment="1">
      <alignment horizontal="center" vertical="center"/>
    </xf>
    <xf numFmtId="0" fontId="13" fillId="2" borderId="117" xfId="3" applyFont="1" applyFill="1" applyBorder="1" applyAlignment="1">
      <alignment horizontal="center" vertical="center"/>
    </xf>
    <xf numFmtId="0" fontId="13" fillId="2" borderId="52" xfId="3" applyFont="1" applyFill="1" applyBorder="1" applyAlignment="1">
      <alignment horizontal="center" vertical="center"/>
    </xf>
    <xf numFmtId="0" fontId="13" fillId="2" borderId="118" xfId="3" applyFont="1" applyFill="1" applyBorder="1" applyAlignment="1">
      <alignment horizontal="center" vertical="center"/>
    </xf>
    <xf numFmtId="0" fontId="13" fillId="2" borderId="53" xfId="3" applyFont="1" applyFill="1" applyBorder="1" applyAlignment="1">
      <alignment horizontal="center" vertical="center"/>
    </xf>
    <xf numFmtId="0" fontId="13" fillId="3" borderId="146" xfId="3" applyFont="1" applyFill="1" applyBorder="1" applyAlignment="1">
      <alignment horizontal="center" vertical="center"/>
    </xf>
    <xf numFmtId="0" fontId="13" fillId="3" borderId="47" xfId="3" applyFont="1" applyFill="1" applyBorder="1" applyAlignment="1">
      <alignment horizontal="center" vertical="center"/>
    </xf>
    <xf numFmtId="0" fontId="13" fillId="3" borderId="36" xfId="3" applyFont="1" applyFill="1" applyBorder="1" applyAlignment="1">
      <alignment horizontal="center" vertical="center"/>
    </xf>
    <xf numFmtId="0" fontId="13" fillId="3" borderId="37" xfId="3" applyFont="1" applyFill="1" applyBorder="1" applyAlignment="1">
      <alignment horizontal="center" vertical="center"/>
    </xf>
    <xf numFmtId="0" fontId="13" fillId="5" borderId="25" xfId="3" applyFont="1" applyFill="1" applyBorder="1" applyAlignment="1">
      <alignment horizontal="center" vertical="center" wrapText="1"/>
    </xf>
    <xf numFmtId="0" fontId="13" fillId="5" borderId="24" xfId="3" applyFont="1" applyFill="1" applyBorder="1" applyAlignment="1">
      <alignment horizontal="center" vertical="center" wrapText="1"/>
    </xf>
    <xf numFmtId="0" fontId="13" fillId="5" borderId="44" xfId="3" applyFont="1" applyFill="1" applyBorder="1" applyAlignment="1">
      <alignment horizontal="center" vertical="center" wrapText="1"/>
    </xf>
    <xf numFmtId="0" fontId="13" fillId="15" borderId="63" xfId="3" applyFont="1" applyFill="1" applyBorder="1" applyAlignment="1">
      <alignment horizontal="center" vertical="center"/>
    </xf>
    <xf numFmtId="0" fontId="13" fillId="15" borderId="47" xfId="3" applyFont="1" applyFill="1" applyBorder="1" applyAlignment="1">
      <alignment horizontal="center" vertical="center"/>
    </xf>
    <xf numFmtId="0" fontId="13" fillId="15" borderId="36" xfId="3" applyFont="1" applyFill="1" applyBorder="1" applyAlignment="1">
      <alignment horizontal="center" vertical="center"/>
    </xf>
    <xf numFmtId="0" fontId="13" fillId="15" borderId="48" xfId="3" applyFont="1" applyFill="1" applyBorder="1" applyAlignment="1">
      <alignment horizontal="center" vertical="center"/>
    </xf>
    <xf numFmtId="0" fontId="13" fillId="5" borderId="26" xfId="3" applyFont="1" applyFill="1" applyBorder="1" applyAlignment="1">
      <alignment horizontal="center" vertical="center" wrapText="1"/>
    </xf>
    <xf numFmtId="178" fontId="16" fillId="5" borderId="70" xfId="0" applyNumberFormat="1" applyFont="1" applyFill="1" applyBorder="1" applyAlignment="1">
      <alignment horizontal="center" vertical="center"/>
    </xf>
    <xf numFmtId="178" fontId="16" fillId="5" borderId="71" xfId="0" applyNumberFormat="1" applyFont="1" applyFill="1" applyBorder="1" applyAlignment="1">
      <alignment horizontal="center" vertical="center"/>
    </xf>
    <xf numFmtId="178" fontId="16" fillId="9" borderId="105" xfId="0" applyNumberFormat="1" applyFont="1" applyFill="1" applyBorder="1" applyAlignment="1">
      <alignment horizontal="center" vertical="center" wrapText="1"/>
    </xf>
    <xf numFmtId="178" fontId="16" fillId="9" borderId="107" xfId="0" applyNumberFormat="1" applyFont="1" applyFill="1" applyBorder="1" applyAlignment="1">
      <alignment horizontal="center" vertical="center" wrapText="1"/>
    </xf>
    <xf numFmtId="178" fontId="16" fillId="9" borderId="110" xfId="0" applyNumberFormat="1" applyFont="1" applyFill="1" applyBorder="1" applyAlignment="1">
      <alignment horizontal="center" vertical="center" wrapText="1"/>
    </xf>
    <xf numFmtId="178" fontId="16" fillId="9" borderId="121" xfId="0" applyNumberFormat="1" applyFont="1" applyFill="1" applyBorder="1" applyAlignment="1">
      <alignment horizontal="center" vertical="center" textRotation="255"/>
    </xf>
    <xf numFmtId="178" fontId="16" fillId="9" borderId="107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wrapText="1"/>
    </xf>
    <xf numFmtId="0" fontId="17" fillId="0" borderId="105" xfId="0" applyFont="1" applyBorder="1" applyAlignment="1">
      <alignment horizontal="center" vertical="center"/>
    </xf>
    <xf numFmtId="0" fontId="17" fillId="0" borderId="113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11" borderId="131" xfId="0" applyFont="1" applyFill="1" applyBorder="1" applyAlignment="1">
      <alignment horizontal="center" vertical="center"/>
    </xf>
    <xf numFmtId="0" fontId="17" fillId="11" borderId="88" xfId="0" applyFont="1" applyFill="1" applyBorder="1" applyAlignment="1">
      <alignment horizontal="center" vertical="center"/>
    </xf>
    <xf numFmtId="0" fontId="17" fillId="11" borderId="113" xfId="0" applyFont="1" applyFill="1" applyBorder="1" applyAlignment="1">
      <alignment horizontal="center" vertical="center"/>
    </xf>
    <xf numFmtId="0" fontId="17" fillId="12" borderId="131" xfId="0" applyFont="1" applyFill="1" applyBorder="1" applyAlignment="1">
      <alignment horizontal="center" vertical="center"/>
    </xf>
    <xf numFmtId="0" fontId="17" fillId="12" borderId="88" xfId="0" applyFont="1" applyFill="1" applyBorder="1" applyAlignment="1">
      <alignment horizontal="center" vertical="center"/>
    </xf>
    <xf numFmtId="0" fontId="17" fillId="12" borderId="113" xfId="0" applyFont="1" applyFill="1" applyBorder="1" applyAlignment="1">
      <alignment horizontal="center" vertical="center"/>
    </xf>
    <xf numFmtId="0" fontId="17" fillId="13" borderId="105" xfId="0" applyFont="1" applyFill="1" applyBorder="1" applyAlignment="1">
      <alignment horizontal="center" vertical="center"/>
    </xf>
    <xf numFmtId="0" fontId="17" fillId="13" borderId="123" xfId="0" applyFont="1" applyFill="1" applyBorder="1" applyAlignment="1">
      <alignment horizontal="center" vertical="center"/>
    </xf>
    <xf numFmtId="0" fontId="17" fillId="13" borderId="113" xfId="0" applyFont="1" applyFill="1" applyBorder="1" applyAlignment="1">
      <alignment horizontal="center" vertical="center"/>
    </xf>
    <xf numFmtId="0" fontId="22" fillId="0" borderId="112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2007년 2월 현대실적 - 기아" xfId="3" xr:uid="{00000000-0005-0000-0000-000004000000}"/>
  </cellStyles>
  <dxfs count="0"/>
  <tableStyles count="0" defaultTableStyle="TableStyleMedium9" defaultPivotStyle="PivotStyleLight16"/>
  <colors>
    <mruColors>
      <color rgb="FFFFFF66"/>
      <color rgb="FFCCECFF"/>
      <color rgb="FF66FFFF"/>
      <color rgb="FFFFFFCC"/>
      <color rgb="FFCCFFCC"/>
      <color rgb="FFFFFF99"/>
      <color rgb="FFFFCC99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146238</xdr:colOff>
          <xdr:row>12</xdr:row>
          <xdr:rowOff>330</xdr:rowOff>
        </xdr:from>
        <xdr:to>
          <xdr:col>10</xdr:col>
          <xdr:colOff>397029</xdr:colOff>
          <xdr:row>45</xdr:row>
          <xdr:rowOff>129955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40A245AA-F668-6F5A-8C3A-BC160C0B3AF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6238" y="2427134"/>
              <a:ext cx="5464279" cy="61963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089" name="그림 2">
              <a:extLst>
                <a:ext uri="{FF2B5EF4-FFF2-40B4-BE49-F238E27FC236}">
                  <a16:creationId xmlns:a16="http://schemas.microsoft.com/office/drawing/2014/main" id="{93E16F90-C54C-D81F-5628-0B8FB9DE0E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5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49" name="그림 2">
              <a:extLst>
                <a:ext uri="{FF2B5EF4-FFF2-40B4-BE49-F238E27FC236}">
                  <a16:creationId xmlns:a16="http://schemas.microsoft.com/office/drawing/2014/main" id="{307C3D5B-C165-7B25-860F-77E64C8840E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447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393921</xdr:colOff>
          <xdr:row>45</xdr:row>
          <xdr:rowOff>133350</xdr:rowOff>
        </xdr:to>
        <xdr:pic>
          <xdr:nvPicPr>
            <xdr:cNvPr id="24150" name="Picture 4694">
              <a:extLst>
                <a:ext uri="{FF2B5EF4-FFF2-40B4-BE49-F238E27FC236}">
                  <a16:creationId xmlns:a16="http://schemas.microsoft.com/office/drawing/2014/main" id="{92BDA58E-40AA-E256-6D44-7BECA42C51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447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3" name="그림 2">
              <a:extLst>
                <a:ext uri="{FF2B5EF4-FFF2-40B4-BE49-F238E27FC236}">
                  <a16:creationId xmlns:a16="http://schemas.microsoft.com/office/drawing/2014/main" id="{7900FE4A-307D-F269-FC07-39BC2FBB5E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6680" y="2423160"/>
              <a:ext cx="547878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4" name="Picture 5386">
              <a:extLst>
                <a:ext uri="{FF2B5EF4-FFF2-40B4-BE49-F238E27FC236}">
                  <a16:creationId xmlns:a16="http://schemas.microsoft.com/office/drawing/2014/main" id="{3E8B898C-15FB-7CA7-65E0-A10AAFB14B1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5" name="Picture 5387">
              <a:extLst>
                <a:ext uri="{FF2B5EF4-FFF2-40B4-BE49-F238E27FC236}">
                  <a16:creationId xmlns:a16="http://schemas.microsoft.com/office/drawing/2014/main" id="{DF21E547-855C-9CFE-3125-7FFAC31838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392430</xdr:colOff>
          <xdr:row>45</xdr:row>
          <xdr:rowOff>129540</xdr:rowOff>
        </xdr:to>
        <xdr:pic>
          <xdr:nvPicPr>
            <xdr:cNvPr id="27916" name="Picture 4694">
              <a:extLst>
                <a:ext uri="{FF2B5EF4-FFF2-40B4-BE49-F238E27FC236}">
                  <a16:creationId xmlns:a16="http://schemas.microsoft.com/office/drawing/2014/main" id="{289575D5-00CF-C637-D8B6-8E5331D7227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7878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0" name="그림 2">
              <a:extLst>
                <a:ext uri="{FF2B5EF4-FFF2-40B4-BE49-F238E27FC236}">
                  <a16:creationId xmlns:a16="http://schemas.microsoft.com/office/drawing/2014/main" id="{EA9AE6AA-B37E-BF6C-BC07-3F757106F7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1" name="Picture 6151">
              <a:extLst>
                <a:ext uri="{FF2B5EF4-FFF2-40B4-BE49-F238E27FC236}">
                  <a16:creationId xmlns:a16="http://schemas.microsoft.com/office/drawing/2014/main" id="{C4F79CC0-938D-C41E-F2A0-349EB4C4E6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2" name="Picture 6152">
              <a:extLst>
                <a:ext uri="{FF2B5EF4-FFF2-40B4-BE49-F238E27FC236}">
                  <a16:creationId xmlns:a16="http://schemas.microsoft.com/office/drawing/2014/main" id="{D2A572A5-646E-CD62-59FF-BF9921BFED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137160</xdr:rowOff>
        </xdr:to>
        <xdr:pic>
          <xdr:nvPicPr>
            <xdr:cNvPr id="31753" name="Picture 4694">
              <a:extLst>
                <a:ext uri="{FF2B5EF4-FFF2-40B4-BE49-F238E27FC236}">
                  <a16:creationId xmlns:a16="http://schemas.microsoft.com/office/drawing/2014/main" id="{919E6DA3-C03D-287F-1DEA-A4C8AC6CD0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6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25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4" name="Picture 6154">
              <a:extLst>
                <a:ext uri="{FF2B5EF4-FFF2-40B4-BE49-F238E27FC236}">
                  <a16:creationId xmlns:a16="http://schemas.microsoft.com/office/drawing/2014/main" id="{42DD869B-3A17-F19B-5B41-8D0F1CDAF9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5" name="Picture 5386">
              <a:extLst>
                <a:ext uri="{FF2B5EF4-FFF2-40B4-BE49-F238E27FC236}">
                  <a16:creationId xmlns:a16="http://schemas.microsoft.com/office/drawing/2014/main" id="{F9597552-5E36-01F6-C9C2-674050515D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7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6" name="Picture 5387">
              <a:extLst>
                <a:ext uri="{FF2B5EF4-FFF2-40B4-BE49-F238E27FC236}">
                  <a16:creationId xmlns:a16="http://schemas.microsoft.com/office/drawing/2014/main" id="{1E88B9EC-FECD-29E6-93AA-51C9B2D204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</xdr:colOff>
          <xdr:row>12</xdr:row>
          <xdr:rowOff>0</xdr:rowOff>
        </xdr:from>
        <xdr:to>
          <xdr:col>10</xdr:col>
          <xdr:colOff>396240</xdr:colOff>
          <xdr:row>45</xdr:row>
          <xdr:rowOff>129540</xdr:rowOff>
        </xdr:to>
        <xdr:pic>
          <xdr:nvPicPr>
            <xdr:cNvPr id="31757" name="Picture 6157">
              <a:extLst>
                <a:ext uri="{FF2B5EF4-FFF2-40B4-BE49-F238E27FC236}">
                  <a16:creationId xmlns:a16="http://schemas.microsoft.com/office/drawing/2014/main" id="{48396339-4B8A-72BC-BF03-D28B22F1F2E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⊙ 월별'!$A$1:$K$31" spid="_x0000_s326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06680" y="2423160"/>
              <a:ext cx="5486400" cy="621792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73"/>
  <sheetViews>
    <sheetView showGridLines="0" view="pageBreakPreview" zoomScale="115" zoomScaleNormal="130" zoomScaleSheetLayoutView="115" workbookViewId="0">
      <selection activeCell="O21" sqref="O21"/>
    </sheetView>
  </sheetViews>
  <sheetFormatPr defaultRowHeight="14.4" x14ac:dyDescent="0.25"/>
  <cols>
    <col min="1" max="1" width="1.3984375" customWidth="1"/>
    <col min="2" max="2" width="5.296875" style="1" customWidth="1"/>
    <col min="3" max="3" width="6.69921875" style="2" customWidth="1"/>
    <col min="4" max="5" width="7.796875" style="2" customWidth="1"/>
    <col min="6" max="6" width="7.09765625" style="2" bestFit="1" customWidth="1"/>
    <col min="7" max="7" width="7.796875" style="2" customWidth="1"/>
    <col min="8" max="8" width="7.09765625" style="2" bestFit="1" customWidth="1"/>
    <col min="9" max="10" width="8.59765625" style="2" bestFit="1" customWidth="1"/>
    <col min="11" max="11" width="6.3984375" style="2" customWidth="1"/>
    <col min="12" max="12" width="2" customWidth="1"/>
  </cols>
  <sheetData>
    <row r="2" spans="2:13" ht="17.399999999999999" x14ac:dyDescent="0.25">
      <c r="B2" s="330" t="s">
        <v>0</v>
      </c>
      <c r="C2" s="331"/>
      <c r="D2" s="331"/>
      <c r="E2" s="331"/>
      <c r="F2" s="331"/>
      <c r="G2" s="331"/>
      <c r="H2" s="331"/>
      <c r="I2" s="331"/>
      <c r="J2" s="331"/>
      <c r="K2" s="331"/>
    </row>
    <row r="3" spans="2:13" ht="7.95" customHeight="1" thickBot="1" x14ac:dyDescent="0.3">
      <c r="M3" s="148" t="s">
        <v>1</v>
      </c>
    </row>
    <row r="4" spans="2:13" s="3" customFormat="1" ht="15" customHeight="1" x14ac:dyDescent="0.3">
      <c r="B4" s="342" t="s">
        <v>2</v>
      </c>
      <c r="C4" s="343"/>
      <c r="D4" s="166">
        <v>2025</v>
      </c>
      <c r="E4" s="156">
        <f>D4-1</f>
        <v>2024</v>
      </c>
      <c r="F4" s="332" t="s">
        <v>3</v>
      </c>
      <c r="G4" s="162">
        <f>IF(D5=1,D4-1,D4)</f>
        <v>2025</v>
      </c>
      <c r="H4" s="334" t="s">
        <v>4</v>
      </c>
      <c r="I4" s="159">
        <f>D4</f>
        <v>2025</v>
      </c>
      <c r="J4" s="156">
        <f>I4-1</f>
        <v>2024</v>
      </c>
      <c r="K4" s="336" t="s">
        <v>5</v>
      </c>
      <c r="M4" s="149"/>
    </row>
    <row r="5" spans="2:13" ht="15" customHeight="1" x14ac:dyDescent="0.25">
      <c r="B5" s="344"/>
      <c r="C5" s="345"/>
      <c r="D5" s="167">
        <v>10</v>
      </c>
      <c r="E5" s="165">
        <f>D5</f>
        <v>10</v>
      </c>
      <c r="F5" s="333"/>
      <c r="G5" s="163">
        <f>IF(D5=1,12,D5-1)</f>
        <v>9</v>
      </c>
      <c r="H5" s="335"/>
      <c r="I5" s="160">
        <f>D5</f>
        <v>10</v>
      </c>
      <c r="J5" s="157">
        <f>D5</f>
        <v>10</v>
      </c>
      <c r="K5" s="337"/>
    </row>
    <row r="6" spans="2:13" ht="28.95" customHeight="1" x14ac:dyDescent="0.25">
      <c r="B6" s="340" t="s">
        <v>6</v>
      </c>
      <c r="C6" s="341"/>
      <c r="D6" s="186">
        <f>VLOOKUP(D5,'⊙ 월별'!B3:I15,2,0)</f>
        <v>40001</v>
      </c>
      <c r="E6" s="187">
        <f>VLOOKUP(E5,'⊙ 월별'!B19:J31,2,0)</f>
        <v>46025</v>
      </c>
      <c r="F6" s="188">
        <f t="shared" ref="F6:F11" si="0">(D6-E6)/E6</f>
        <v>-0.13088538837588268</v>
      </c>
      <c r="G6" s="189">
        <f>VLOOKUP(G5,'⊙ 월별'!B3:J15,2,0)</f>
        <v>49001</v>
      </c>
      <c r="H6" s="190">
        <f t="shared" ref="H6:H11" si="1">(D6-G6)/G6</f>
        <v>-0.18366972102610152</v>
      </c>
      <c r="I6" s="186">
        <f>'⊙ 월별'!C15</f>
        <v>453943</v>
      </c>
      <c r="J6" s="187">
        <f>국내1!L34-국내1!L33</f>
        <v>445925</v>
      </c>
      <c r="K6" s="191">
        <f t="shared" ref="K6:K11" si="2">(I6-J6)/J6</f>
        <v>1.7980602119190447E-2</v>
      </c>
    </row>
    <row r="7" spans="2:13" ht="28.95" customHeight="1" x14ac:dyDescent="0.25">
      <c r="B7" s="338" t="s">
        <v>7</v>
      </c>
      <c r="C7" s="339"/>
      <c r="D7" s="246">
        <f>VLOOKUP(D5,'⊙ 월별'!B3:I15,5,0)</f>
        <v>223014</v>
      </c>
      <c r="E7" s="247">
        <f>VLOOKUP(E5,'⊙ 월별'!B19:J31,5,0)</f>
        <v>218389</v>
      </c>
      <c r="F7" s="248">
        <f t="shared" si="0"/>
        <v>2.1177806574506956E-2</v>
      </c>
      <c r="G7" s="249">
        <f>VLOOKUP(G5,'⊙ 월별'!B3:J15,5,0)</f>
        <v>218929</v>
      </c>
      <c r="H7" s="250">
        <f t="shared" si="1"/>
        <v>1.8659017306980802E-2</v>
      </c>
      <c r="I7" s="246">
        <f>'⊙ 월별'!F15</f>
        <v>2178148</v>
      </c>
      <c r="J7" s="247">
        <f>국내1!L35</f>
        <v>2133804</v>
      </c>
      <c r="K7" s="251">
        <f t="shared" si="2"/>
        <v>2.0781665045149413E-2</v>
      </c>
    </row>
    <row r="8" spans="2:13" ht="13.95" hidden="1" customHeight="1" x14ac:dyDescent="0.25">
      <c r="B8" s="267"/>
      <c r="C8" s="265" t="s">
        <v>6</v>
      </c>
      <c r="D8" s="257">
        <f>VLOOKUP(D5,'⊙ 월별'!B3:K15,3,0)</f>
        <v>343</v>
      </c>
      <c r="E8" s="258">
        <f>VLOOKUP(E5,'⊙ 월별'!B19:K31,3,0)</f>
        <v>385</v>
      </c>
      <c r="F8" s="259">
        <f t="shared" si="0"/>
        <v>-0.10909090909090909</v>
      </c>
      <c r="G8" s="260">
        <f>VLOOKUP(G5,'⊙ 월별'!B3:K15,3,0)</f>
        <v>200</v>
      </c>
      <c r="H8" s="261">
        <f t="shared" si="1"/>
        <v>0.71499999999999997</v>
      </c>
      <c r="I8" s="257">
        <f>'⊙ 월별'!D15</f>
        <v>1509</v>
      </c>
      <c r="J8" s="258">
        <f>국내1!L33</f>
        <v>1697</v>
      </c>
      <c r="K8" s="262">
        <f t="shared" si="2"/>
        <v>-0.1107837360047142</v>
      </c>
    </row>
    <row r="9" spans="2:13" ht="18.600000000000001" hidden="1" customHeight="1" x14ac:dyDescent="0.25">
      <c r="B9" s="266"/>
      <c r="C9" s="265" t="s">
        <v>7</v>
      </c>
      <c r="D9" s="257">
        <f>VLOOKUP(D5,'⊙ 월별'!B3:K15,6,0)</f>
        <v>546</v>
      </c>
      <c r="E9" s="258">
        <f>VLOOKUP(E5,'⊙ 월별'!B19:K31,6,0)</f>
        <v>545</v>
      </c>
      <c r="F9" s="263">
        <f t="shared" si="0"/>
        <v>1.834862385321101E-3</v>
      </c>
      <c r="G9" s="260">
        <f>VLOOKUP(G5,'⊙ 월별'!B3:K15,6,0)</f>
        <v>257</v>
      </c>
      <c r="H9" s="261">
        <f t="shared" si="1"/>
        <v>1.1245136186770428</v>
      </c>
      <c r="I9" s="257">
        <f>'⊙ 월별'!G15</f>
        <v>2977</v>
      </c>
      <c r="J9" s="258">
        <f>국내1!L36</f>
        <v>3233</v>
      </c>
      <c r="K9" s="264">
        <f t="shared" si="2"/>
        <v>-7.9183420971234153E-2</v>
      </c>
    </row>
    <row r="10" spans="2:13" ht="28.95" customHeight="1" thickBot="1" x14ac:dyDescent="0.3">
      <c r="B10" s="346" t="s">
        <v>8</v>
      </c>
      <c r="C10" s="347"/>
      <c r="D10" s="252">
        <f>D8+D9</f>
        <v>889</v>
      </c>
      <c r="E10" s="253">
        <f>E8+E9</f>
        <v>930</v>
      </c>
      <c r="F10" s="254">
        <f t="shared" si="0"/>
        <v>-4.4086021505376341E-2</v>
      </c>
      <c r="G10" s="255">
        <f>G8+G9</f>
        <v>457</v>
      </c>
      <c r="H10" s="254">
        <f t="shared" si="1"/>
        <v>0.94529540481400443</v>
      </c>
      <c r="I10" s="252">
        <f>I8+I9</f>
        <v>4486</v>
      </c>
      <c r="J10" s="253">
        <f>J9+J8</f>
        <v>4930</v>
      </c>
      <c r="K10" s="256">
        <f t="shared" si="2"/>
        <v>-9.0060851926977686E-2</v>
      </c>
    </row>
    <row r="11" spans="2:13" ht="27.75" customHeight="1" thickBot="1" x14ac:dyDescent="0.3">
      <c r="B11" s="328" t="s">
        <v>9</v>
      </c>
      <c r="C11" s="329"/>
      <c r="D11" s="161">
        <f>D6+D7+D10</f>
        <v>263904</v>
      </c>
      <c r="E11" s="158">
        <f>E6+E7+E10</f>
        <v>265344</v>
      </c>
      <c r="F11" s="168">
        <f t="shared" si="0"/>
        <v>-5.4269175108538348E-3</v>
      </c>
      <c r="G11" s="164">
        <f>G6+G7+G10</f>
        <v>268387</v>
      </c>
      <c r="H11" s="168">
        <f t="shared" si="1"/>
        <v>-1.6703491599816683E-2</v>
      </c>
      <c r="I11" s="161">
        <f>I6+I7+I10</f>
        <v>2636577</v>
      </c>
      <c r="J11" s="158">
        <f>J7+J6+J10</f>
        <v>2584659</v>
      </c>
      <c r="K11" s="169">
        <f t="shared" si="2"/>
        <v>2.0086982460742402E-2</v>
      </c>
    </row>
    <row r="12" spans="2:13" ht="7.2" customHeight="1" x14ac:dyDescent="0.25">
      <c r="B12" s="170"/>
      <c r="C12" s="21"/>
      <c r="D12" s="21"/>
      <c r="E12" s="21"/>
      <c r="F12" s="21"/>
      <c r="G12" s="21"/>
      <c r="H12" s="21"/>
      <c r="I12" s="21"/>
      <c r="J12" s="21"/>
      <c r="K12" s="21"/>
    </row>
    <row r="13" spans="2:13" x14ac:dyDescent="0.25">
      <c r="M13" s="148"/>
    </row>
    <row r="14" spans="2:13" ht="15" customHeight="1" x14ac:dyDescent="0.25">
      <c r="M14" s="148"/>
    </row>
    <row r="15" spans="2:13" ht="17.399999999999999" customHeight="1" x14ac:dyDescent="0.25">
      <c r="M15" s="148"/>
    </row>
    <row r="16" spans="2:13" ht="15" customHeight="1" x14ac:dyDescent="0.25">
      <c r="M16" s="148"/>
    </row>
    <row r="73" spans="8:8" x14ac:dyDescent="0.25">
      <c r="H73" s="2">
        <f>H43+H46+H48+H71+H65+H62+H55+H58+H40+H52+H68</f>
        <v>0</v>
      </c>
    </row>
  </sheetData>
  <mergeCells count="9">
    <mergeCell ref="B11:C11"/>
    <mergeCell ref="B2:K2"/>
    <mergeCell ref="F4:F5"/>
    <mergeCell ref="H4:H5"/>
    <mergeCell ref="K4:K5"/>
    <mergeCell ref="B7:C7"/>
    <mergeCell ref="B6:C6"/>
    <mergeCell ref="B4:C5"/>
    <mergeCell ref="B10:C1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H10:H11 F10:F11 F6 F7 F8:F9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87"/>
  <sheetViews>
    <sheetView showGridLines="0" tabSelected="1" view="pageBreakPreview" zoomScale="85" zoomScaleNormal="100" zoomScaleSheetLayoutView="85" workbookViewId="0">
      <pane ySplit="5" topLeftCell="A19" activePane="bottomLeft" state="frozen"/>
      <selection activeCell="O49" sqref="O49"/>
      <selection pane="bottomLeft" activeCell="J87" sqref="J87"/>
    </sheetView>
  </sheetViews>
  <sheetFormatPr defaultColWidth="8.8984375" defaultRowHeight="15.6" x14ac:dyDescent="0.25"/>
  <cols>
    <col min="1" max="1" width="3.69921875" style="5" customWidth="1"/>
    <col min="2" max="2" width="1.69921875" style="5" customWidth="1"/>
    <col min="3" max="3" width="1.796875" style="5" customWidth="1"/>
    <col min="4" max="4" width="15.19921875" style="8" customWidth="1"/>
    <col min="5" max="5" width="9.796875" style="5" customWidth="1"/>
    <col min="6" max="6" width="7.3984375" style="9" customWidth="1"/>
    <col min="7" max="7" width="7.3984375" style="10" customWidth="1"/>
    <col min="8" max="9" width="9.796875" style="5" customWidth="1"/>
    <col min="10" max="10" width="12.59765625" style="5" customWidth="1"/>
    <col min="11" max="11" width="7.3984375" style="10" customWidth="1"/>
    <col min="12" max="12" width="12.3984375" style="5" bestFit="1" customWidth="1"/>
    <col min="13" max="13" width="6" style="5" customWidth="1"/>
    <col min="14" max="14" width="8.8984375" style="5"/>
    <col min="15" max="16" width="10.19921875" style="5" bestFit="1" customWidth="1"/>
    <col min="17" max="16384" width="8.8984375" style="5"/>
  </cols>
  <sheetData>
    <row r="1" spans="1:19" ht="24.75" customHeight="1" x14ac:dyDescent="0.25">
      <c r="A1" s="348" t="s">
        <v>10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4"/>
    </row>
    <row r="2" spans="1:19" ht="10.5" customHeight="1" x14ac:dyDescent="0.25">
      <c r="A2" s="4" t="s">
        <v>11</v>
      </c>
      <c r="B2" s="4"/>
      <c r="C2" s="4"/>
      <c r="D2" s="4"/>
      <c r="E2" s="4"/>
      <c r="F2" s="6"/>
      <c r="G2" s="6"/>
      <c r="H2" s="4"/>
      <c r="I2" s="4"/>
      <c r="J2" s="4"/>
      <c r="K2" s="7"/>
      <c r="L2" s="4"/>
      <c r="N2" s="356"/>
      <c r="O2" s="356"/>
      <c r="P2" s="356"/>
      <c r="Q2" s="356"/>
      <c r="R2" s="356"/>
      <c r="S2" s="356"/>
    </row>
    <row r="3" spans="1:19" ht="5.25" customHeight="1" thickBot="1" x14ac:dyDescent="0.3">
      <c r="G3" s="10" t="s">
        <v>12</v>
      </c>
    </row>
    <row r="4" spans="1:19" s="11" customFormat="1" ht="28.95" customHeight="1" thickTop="1" x14ac:dyDescent="0.45">
      <c r="A4" s="357" t="s">
        <v>13</v>
      </c>
      <c r="B4" s="358"/>
      <c r="C4" s="358"/>
      <c r="D4" s="358"/>
      <c r="E4" s="99">
        <v>2025</v>
      </c>
      <c r="F4" s="22"/>
      <c r="G4" s="23"/>
      <c r="H4" s="24">
        <f>E4-1</f>
        <v>2024</v>
      </c>
      <c r="I4" s="25">
        <f>IF(E5=1,E4-1,E4)</f>
        <v>2025</v>
      </c>
      <c r="J4" s="101">
        <f>E4</f>
        <v>2025</v>
      </c>
      <c r="K4" s="26"/>
      <c r="L4" s="27">
        <f>H4</f>
        <v>2024</v>
      </c>
    </row>
    <row r="5" spans="1:19" s="12" customFormat="1" ht="35.25" customHeight="1" x14ac:dyDescent="0.25">
      <c r="A5" s="359"/>
      <c r="B5" s="360"/>
      <c r="C5" s="360"/>
      <c r="D5" s="360"/>
      <c r="E5" s="100">
        <v>10</v>
      </c>
      <c r="F5" s="28" t="s">
        <v>14</v>
      </c>
      <c r="G5" s="29" t="s">
        <v>4</v>
      </c>
      <c r="H5" s="30">
        <f>E5</f>
        <v>10</v>
      </c>
      <c r="I5" s="31">
        <f>IF(E5=1,12,E5-1)</f>
        <v>9</v>
      </c>
      <c r="J5" s="102" t="s">
        <v>15</v>
      </c>
      <c r="K5" s="29" t="s">
        <v>16</v>
      </c>
      <c r="L5" s="32" t="s">
        <v>15</v>
      </c>
    </row>
    <row r="6" spans="1:19" ht="21" customHeight="1" x14ac:dyDescent="0.25">
      <c r="A6" s="282"/>
      <c r="B6" s="289"/>
      <c r="C6" s="369"/>
      <c r="D6" s="55" t="s">
        <v>17</v>
      </c>
      <c r="E6" s="33">
        <f>VLOOKUP(D6,국내2!$C$5:$P$33,$E$5+1,0)</f>
        <v>2062</v>
      </c>
      <c r="F6" s="34">
        <f t="shared" ref="F6:F38" si="0">(E6-H6)/H6</f>
        <v>0.40846994535519127</v>
      </c>
      <c r="G6" s="35">
        <f t="shared" ref="G6:G38" si="1">(E6-I6)/I6</f>
        <v>0.14238227146814406</v>
      </c>
      <c r="H6" s="36">
        <f>VLOOKUP(D6,국내2!$C$71:$P$96,$E$5+1,0)</f>
        <v>1464</v>
      </c>
      <c r="I6" s="37">
        <f>VLOOKUP(D6,국내2!$C$5:$P$33,$I$5+1,0)</f>
        <v>1805</v>
      </c>
      <c r="J6" s="33">
        <f>국내2!P5</f>
        <v>13372</v>
      </c>
      <c r="K6" s="35">
        <f t="shared" ref="K6:K13" si="2">(J6-L6)/L6</f>
        <v>0.13707482993197279</v>
      </c>
      <c r="L6" s="107">
        <f>SUM(국내2!D71:'국내2'!M71)</f>
        <v>11760</v>
      </c>
      <c r="M6" s="13"/>
      <c r="N6" s="18"/>
      <c r="O6" s="18"/>
      <c r="R6" s="292"/>
    </row>
    <row r="7" spans="1:19" ht="21" customHeight="1" x14ac:dyDescent="0.25">
      <c r="A7" s="282"/>
      <c r="B7" s="289"/>
      <c r="C7" s="369"/>
      <c r="D7" s="55" t="s">
        <v>18</v>
      </c>
      <c r="E7" s="33">
        <f>VLOOKUP(D7,국내2!$C$5:$P$33,$E$5+1,0)</f>
        <v>3382</v>
      </c>
      <c r="F7" s="34">
        <f t="shared" si="0"/>
        <v>3.1726662599145819E-2</v>
      </c>
      <c r="G7" s="35">
        <f t="shared" si="1"/>
        <v>-0.15513364976267799</v>
      </c>
      <c r="H7" s="36">
        <f>VLOOKUP(D7,국내2!$C$71:$P$96,$E$5+1,0)</f>
        <v>3278</v>
      </c>
      <c r="I7" s="37">
        <f>VLOOKUP(D7,국내2!$C$5:$P$33,$I$5+1,0)</f>
        <v>4003</v>
      </c>
      <c r="J7" s="33">
        <f>국내2!P6</f>
        <v>39907</v>
      </c>
      <c r="K7" s="35">
        <f t="shared" si="2"/>
        <v>-2.7986706314500611E-3</v>
      </c>
      <c r="L7" s="324">
        <f>SUM(국내2!D72:'국내2'!M72)</f>
        <v>40019</v>
      </c>
      <c r="M7" s="13"/>
      <c r="N7" s="18"/>
      <c r="O7" s="18"/>
      <c r="R7" s="292"/>
    </row>
    <row r="8" spans="1:19" ht="21.9" customHeight="1" x14ac:dyDescent="0.25">
      <c r="A8" s="282"/>
      <c r="B8" s="289"/>
      <c r="C8" s="370"/>
      <c r="D8" s="55" t="s">
        <v>19</v>
      </c>
      <c r="E8" s="33">
        <f>VLOOKUP(D8,국내2!$C$5:$P$33,$E$5+1,0)</f>
        <v>0</v>
      </c>
      <c r="F8" s="34" t="e">
        <f t="shared" si="0"/>
        <v>#DIV/0!</v>
      </c>
      <c r="G8" s="35" t="e">
        <f t="shared" si="1"/>
        <v>#DIV/0!</v>
      </c>
      <c r="H8" s="36">
        <f>VLOOKUP(D8,국내2!$C$71:$P$96,$E$5+1,0)</f>
        <v>0</v>
      </c>
      <c r="I8" s="37">
        <f>VLOOKUP(D8,국내2!$C$5:$P$33,$I$5+1,0)</f>
        <v>0</v>
      </c>
      <c r="J8" s="33">
        <f>국내2!P7</f>
        <v>0</v>
      </c>
      <c r="K8" s="35">
        <f t="shared" si="2"/>
        <v>-1</v>
      </c>
      <c r="L8" s="108">
        <f>SUM(국내2!D73:'국내2'!M73)</f>
        <v>9831</v>
      </c>
      <c r="M8" s="13"/>
      <c r="N8" s="18"/>
      <c r="P8" s="143"/>
      <c r="Q8" s="13"/>
      <c r="R8" s="292"/>
    </row>
    <row r="9" spans="1:19" ht="21.9" customHeight="1" x14ac:dyDescent="0.25">
      <c r="A9" s="282"/>
      <c r="B9" s="289"/>
      <c r="C9" s="370"/>
      <c r="D9" s="55" t="s">
        <v>20</v>
      </c>
      <c r="E9" s="33">
        <f>VLOOKUP(D9,국내2!$C$5:$P$33,$E$5+1,0)</f>
        <v>654</v>
      </c>
      <c r="F9" s="34" t="e">
        <f>(E9-H9)/H9</f>
        <v>#DIV/0!</v>
      </c>
      <c r="G9" s="35">
        <f t="shared" si="1"/>
        <v>-0.43179843614248481</v>
      </c>
      <c r="H9" s="36">
        <v>0</v>
      </c>
      <c r="I9" s="37">
        <f>VLOOKUP(D9,국내2!$C$5:$P$33,$I$5+1,0)</f>
        <v>1151</v>
      </c>
      <c r="J9" s="33">
        <f>국내2!P8</f>
        <v>7691</v>
      </c>
      <c r="K9" s="35" t="e">
        <f t="shared" si="2"/>
        <v>#DIV/0!</v>
      </c>
      <c r="L9" s="108">
        <v>0</v>
      </c>
      <c r="M9" s="13"/>
      <c r="N9" s="18"/>
      <c r="O9" s="18"/>
      <c r="R9" s="292"/>
    </row>
    <row r="10" spans="1:19" ht="21.9" customHeight="1" x14ac:dyDescent="0.25">
      <c r="A10" s="282"/>
      <c r="B10" s="289"/>
      <c r="C10" s="370"/>
      <c r="D10" s="55" t="s">
        <v>21</v>
      </c>
      <c r="E10" s="33">
        <f>VLOOKUP(D10,국내2!$C$5:$P$33,$E$5+1,0)</f>
        <v>3045</v>
      </c>
      <c r="F10" s="34">
        <f t="shared" si="0"/>
        <v>4.9504950495049506E-3</v>
      </c>
      <c r="G10" s="35">
        <f t="shared" si="1"/>
        <v>-2.622321714102974E-2</v>
      </c>
      <c r="H10" s="36">
        <f>VLOOKUP(D10,국내2!$C$71:$P$96,$E$5+1,0)</f>
        <v>3030</v>
      </c>
      <c r="I10" s="37">
        <f>VLOOKUP(D10,국내2!$C$5:$P$33,$I$5+1,0)</f>
        <v>3127</v>
      </c>
      <c r="J10" s="33">
        <f>국내2!P9</f>
        <v>29709</v>
      </c>
      <c r="K10" s="35">
        <f t="shared" si="2"/>
        <v>2.1384123491594183E-2</v>
      </c>
      <c r="L10" s="323">
        <f>SUM(국내2!D74:'국내2'!M74)</f>
        <v>29087</v>
      </c>
      <c r="M10" s="13"/>
      <c r="N10" s="18"/>
      <c r="O10" s="18"/>
      <c r="P10" s="142"/>
      <c r="R10" s="292"/>
    </row>
    <row r="11" spans="1:19" ht="21.9" customHeight="1" x14ac:dyDescent="0.25">
      <c r="A11" s="282"/>
      <c r="B11" s="289"/>
      <c r="C11" s="370"/>
      <c r="D11" s="55" t="s">
        <v>22</v>
      </c>
      <c r="E11" s="33">
        <f>VLOOKUP(D11,국내2!$C$5:$P$33,$E$5+1,0)</f>
        <v>2129</v>
      </c>
      <c r="F11" s="34">
        <f t="shared" si="0"/>
        <v>-0.57223226843480013</v>
      </c>
      <c r="G11" s="35">
        <f t="shared" si="1"/>
        <v>-1.3895321908290875E-2</v>
      </c>
      <c r="H11" s="36">
        <f>VLOOKUP(D11,국내2!$C$71:$P$96,$E$5+1,0)</f>
        <v>4977</v>
      </c>
      <c r="I11" s="37">
        <f>VLOOKUP(D11,국내2!$C$5:$P$33,$I$5+1,0)</f>
        <v>2159</v>
      </c>
      <c r="J11" s="33">
        <f>국내2!P10</f>
        <v>23428</v>
      </c>
      <c r="K11" s="35">
        <f t="shared" si="2"/>
        <v>-0.10044540009215175</v>
      </c>
      <c r="L11" s="323">
        <f>SUM(국내2!D75:'국내2'!M75)</f>
        <v>26044</v>
      </c>
      <c r="M11" s="13"/>
      <c r="N11" s="18"/>
      <c r="O11" s="18"/>
      <c r="R11" s="292"/>
    </row>
    <row r="12" spans="1:19" ht="21.9" customHeight="1" x14ac:dyDescent="0.25">
      <c r="A12" s="282"/>
      <c r="B12" s="290"/>
      <c r="C12" s="371"/>
      <c r="D12" s="55" t="s">
        <v>23</v>
      </c>
      <c r="E12" s="33">
        <f>VLOOKUP(D12,국내2!$C$5:$P$33,$E$5+1,0)</f>
        <v>47</v>
      </c>
      <c r="F12" s="34">
        <f>(E12-H12)/H12</f>
        <v>-0.62992125984251968</v>
      </c>
      <c r="G12" s="35">
        <f>(E12-I12)/I12</f>
        <v>-0.56880733944954132</v>
      </c>
      <c r="H12" s="36">
        <f>VLOOKUP(D12,국내2!$C$71:$P$96,$E$5+1,0)</f>
        <v>127</v>
      </c>
      <c r="I12" s="37">
        <f>VLOOKUP(D12,국내2!$C$5:$P$33,$I$5+1,0)</f>
        <v>109</v>
      </c>
      <c r="J12" s="33">
        <f>국내2!P11</f>
        <v>1273</v>
      </c>
      <c r="K12" s="35">
        <f t="shared" si="2"/>
        <v>-0.31925133689839574</v>
      </c>
      <c r="L12" s="323">
        <f>SUM(국내2!D77:'국내2'!M77)</f>
        <v>1870</v>
      </c>
      <c r="M12" s="13"/>
      <c r="N12" s="18"/>
      <c r="O12" s="18"/>
    </row>
    <row r="13" spans="1:19" ht="21.9" customHeight="1" x14ac:dyDescent="0.25">
      <c r="A13" s="282"/>
      <c r="B13" s="290"/>
      <c r="C13" s="371"/>
      <c r="D13" s="38" t="s">
        <v>24</v>
      </c>
      <c r="E13" s="39">
        <f>SUM(E6:E12)</f>
        <v>11319</v>
      </c>
      <c r="F13" s="40">
        <f t="shared" si="0"/>
        <v>-0.12092264678471575</v>
      </c>
      <c r="G13" s="41">
        <f t="shared" si="1"/>
        <v>-8.3778533268576982E-2</v>
      </c>
      <c r="H13" s="42">
        <f>SUM(H6:H12)</f>
        <v>12876</v>
      </c>
      <c r="I13" s="42">
        <f>SUM(I6:I12)</f>
        <v>12354</v>
      </c>
      <c r="J13" s="39">
        <f>SUM(J6:J12)</f>
        <v>115380</v>
      </c>
      <c r="K13" s="41">
        <f t="shared" si="2"/>
        <v>-2.7240306548296532E-2</v>
      </c>
      <c r="L13" s="109">
        <f>SUM(L6:L12)</f>
        <v>118611</v>
      </c>
      <c r="M13" s="13"/>
      <c r="N13" s="18"/>
      <c r="O13" s="18"/>
    </row>
    <row r="14" spans="1:19" ht="21.9" customHeight="1" x14ac:dyDescent="0.25">
      <c r="A14" s="282"/>
      <c r="B14" s="289"/>
      <c r="C14" s="370"/>
      <c r="D14" s="55" t="s">
        <v>25</v>
      </c>
      <c r="E14" s="33">
        <f>VLOOKUP(D14,국내2!$C$5:$P$33,$E$5+1,0)</f>
        <v>1128</v>
      </c>
      <c r="F14" s="34">
        <f t="shared" si="0"/>
        <v>0.17377731529656607</v>
      </c>
      <c r="G14" s="35">
        <f t="shared" si="1"/>
        <v>7.6335877862595422E-2</v>
      </c>
      <c r="H14" s="36">
        <f>VLOOKUP(D14,국내2!$C$71:$P$96,$E$5+1,0)</f>
        <v>961</v>
      </c>
      <c r="I14" s="37">
        <f>VLOOKUP(D14,국내2!$C$5:$P$33,$I$5+1,0)</f>
        <v>1048</v>
      </c>
      <c r="J14" s="33">
        <f>국내2!P13</f>
        <v>10907</v>
      </c>
      <c r="K14" s="35">
        <f t="shared" ref="K14:K23" si="3">(J14-L14)/L14</f>
        <v>-0.13635283870456885</v>
      </c>
      <c r="L14" s="108">
        <f>SUM(국내2!D79:'국내2'!M79)</f>
        <v>12629</v>
      </c>
      <c r="M14" s="13"/>
      <c r="N14" s="18"/>
      <c r="O14" s="18"/>
      <c r="R14" s="292"/>
    </row>
    <row r="15" spans="1:19" ht="21.9" customHeight="1" x14ac:dyDescent="0.25">
      <c r="A15" s="282"/>
      <c r="B15" s="289"/>
      <c r="C15" s="370"/>
      <c r="D15" s="55" t="s">
        <v>26</v>
      </c>
      <c r="E15" s="33">
        <f>VLOOKUP(D15,국내2!$C$5:$P$33,$E$5+1,0)</f>
        <v>1423</v>
      </c>
      <c r="F15" s="34">
        <f t="shared" si="0"/>
        <v>-0.32463217845277648</v>
      </c>
      <c r="G15" s="35">
        <f>(E15-I15)/I15</f>
        <v>-0.26154644525168658</v>
      </c>
      <c r="H15" s="36">
        <f>VLOOKUP(D15,국내2!$C$71:$P$96,$E$5+1,0)</f>
        <v>2107</v>
      </c>
      <c r="I15" s="37">
        <f>VLOOKUP(D15,국내2!$C$5:$P$33,$I$5+1,0)</f>
        <v>1927</v>
      </c>
      <c r="J15" s="33">
        <f>국내2!P14</f>
        <v>20391</v>
      </c>
      <c r="K15" s="35">
        <f t="shared" si="3"/>
        <v>1.0177122501484266</v>
      </c>
      <c r="L15" s="108">
        <f>SUM(국내2!D80:'국내2'!M80)</f>
        <v>10106</v>
      </c>
      <c r="M15" s="13"/>
      <c r="N15" s="18"/>
      <c r="O15" s="18"/>
      <c r="R15" s="292"/>
    </row>
    <row r="16" spans="1:19" ht="21.9" customHeight="1" x14ac:dyDescent="0.25">
      <c r="A16" s="282"/>
      <c r="B16" s="289"/>
      <c r="C16" s="370"/>
      <c r="D16" s="55" t="s">
        <v>27</v>
      </c>
      <c r="E16" s="33">
        <f>VLOOKUP(D16,국내2!$C$5:$P$33,$E$5+1,0)</f>
        <v>1150</v>
      </c>
      <c r="F16" s="34" t="e">
        <f>(E16-H16)/H16</f>
        <v>#DIV/0!</v>
      </c>
      <c r="G16" s="35">
        <f>(E16-I16)/I16</f>
        <v>3.2279411764705883</v>
      </c>
      <c r="H16" s="36">
        <v>0</v>
      </c>
      <c r="I16" s="37">
        <f>VLOOKUP(D16,국내2!$C$5:$P$33,$I$5+1,0)</f>
        <v>272</v>
      </c>
      <c r="J16" s="33">
        <f>국내2!P15</f>
        <v>1422</v>
      </c>
      <c r="K16" s="35" t="e">
        <f t="shared" si="3"/>
        <v>#DIV/0!</v>
      </c>
      <c r="L16" s="108">
        <v>0</v>
      </c>
      <c r="M16" s="13"/>
      <c r="N16" s="18"/>
      <c r="O16" s="18"/>
      <c r="R16" s="292"/>
    </row>
    <row r="17" spans="1:12" ht="21.9" customHeight="1" x14ac:dyDescent="0.25">
      <c r="A17" s="282"/>
      <c r="B17" s="289"/>
      <c r="C17" s="370"/>
      <c r="D17" s="55" t="s">
        <v>28</v>
      </c>
      <c r="E17" s="33">
        <f>VLOOKUP(D17,국내2!$C$5:$P$33,$E$5+1,0)</f>
        <v>747</v>
      </c>
      <c r="F17" s="34">
        <f>(E17-H17)/H17</f>
        <v>0.34111310592459604</v>
      </c>
      <c r="G17" s="35">
        <f>(E17-I17)/I17</f>
        <v>-0.43494704992435701</v>
      </c>
      <c r="H17" s="36">
        <f>VLOOKUP(D17,국내2!$C$71:$P$96,$E$5+1,0)</f>
        <v>557</v>
      </c>
      <c r="I17" s="37">
        <f>VLOOKUP(D17,국내2!$C$5:$P$33,$I$5+1,0)</f>
        <v>1322</v>
      </c>
      <c r="J17" s="33">
        <f>국내2!P16</f>
        <v>8893</v>
      </c>
      <c r="K17" s="35">
        <f>J17/L17-1</f>
        <v>9.3984499938491783E-2</v>
      </c>
      <c r="L17" s="108">
        <f>SUM(국내2!D81:'국내2'!M81)</f>
        <v>8129</v>
      </c>
    </row>
    <row r="18" spans="1:12" ht="21.9" customHeight="1" x14ac:dyDescent="0.25">
      <c r="A18" s="282"/>
      <c r="B18" s="289"/>
      <c r="C18" s="370"/>
      <c r="D18" s="55" t="s">
        <v>29</v>
      </c>
      <c r="E18" s="33">
        <f>VLOOKUP(D18,국내2!$C$5:$P$33,$E$5+1,0)</f>
        <v>144</v>
      </c>
      <c r="F18" s="34">
        <f>(E18-H18)/H18</f>
        <v>-9.4339622641509441E-2</v>
      </c>
      <c r="G18" s="35">
        <f>(E18-I18)/I18</f>
        <v>-2.0408163265306121E-2</v>
      </c>
      <c r="H18" s="36">
        <f>VLOOKUP(D18,국내2!$C$71:$P$96,$E$5+1,0)</f>
        <v>159</v>
      </c>
      <c r="I18" s="37">
        <f>VLOOKUP(D18,국내2!$C$5:$P$33,$I$5+1,0)</f>
        <v>147</v>
      </c>
      <c r="J18" s="33">
        <f>국내2!P17</f>
        <v>1344</v>
      </c>
      <c r="K18" s="35">
        <f>J18/L18-1</f>
        <v>-0.23592950540079594</v>
      </c>
      <c r="L18" s="108">
        <f>SUM(국내2!D82:'국내2'!M82)</f>
        <v>1759</v>
      </c>
    </row>
    <row r="19" spans="1:12" ht="21.9" customHeight="1" x14ac:dyDescent="0.25">
      <c r="A19" s="282"/>
      <c r="B19" s="289"/>
      <c r="C19" s="370"/>
      <c r="D19" s="55" t="s">
        <v>30</v>
      </c>
      <c r="E19" s="33">
        <f>VLOOKUP(D19,국내2!$C$5:$P$33,$E$5+1,0)</f>
        <v>3365</v>
      </c>
      <c r="F19" s="34">
        <f>(E19-H19)/H19</f>
        <v>-0.50674289064790379</v>
      </c>
      <c r="G19" s="35">
        <f>(E19-I19)/I19</f>
        <v>-0.32225579053373615</v>
      </c>
      <c r="H19" s="36">
        <f>VLOOKUP(D19,국내2!$C$71:$P$96,$E$5+1,0)</f>
        <v>6822</v>
      </c>
      <c r="I19" s="37">
        <f>VLOOKUP(D19,국내2!$C$5:$P$33,$I$5+1,0)</f>
        <v>4965</v>
      </c>
      <c r="J19" s="33">
        <f>국내2!P18</f>
        <v>46404</v>
      </c>
      <c r="K19" s="35">
        <f>J19/L19-1</f>
        <v>-9.8916462775253455E-2</v>
      </c>
      <c r="L19" s="108">
        <f>SUM(국내2!D83:'국내2'!M83)</f>
        <v>51498</v>
      </c>
    </row>
    <row r="20" spans="1:12" ht="21.9" customHeight="1" x14ac:dyDescent="0.25">
      <c r="A20" s="282"/>
      <c r="B20" s="289"/>
      <c r="C20" s="370"/>
      <c r="D20" s="55" t="s">
        <v>31</v>
      </c>
      <c r="E20" s="33">
        <f>VLOOKUP(D20,국내2!$C$5:$P$33,$E$5+1,0)</f>
        <v>4055</v>
      </c>
      <c r="F20" s="34">
        <f t="shared" si="0"/>
        <v>-0.26685951907430844</v>
      </c>
      <c r="G20" s="35">
        <f t="shared" si="1"/>
        <v>-0.36798628428927682</v>
      </c>
      <c r="H20" s="36">
        <f>VLOOKUP(D20,국내2!$C$71:$P$96,$E$5+1,0)</f>
        <v>5531</v>
      </c>
      <c r="I20" s="37">
        <f>VLOOKUP(D20,국내2!$C$5:$P$33,$I$5+1,0)</f>
        <v>6416</v>
      </c>
      <c r="J20" s="33">
        <f>국내2!P19</f>
        <v>59743</v>
      </c>
      <c r="K20" s="35">
        <f>J20/L20-1</f>
        <v>-3.0051628405364128E-2</v>
      </c>
      <c r="L20" s="108">
        <f>SUM(국내2!D84:'국내2'!M84)</f>
        <v>61594</v>
      </c>
    </row>
    <row r="21" spans="1:12" ht="21.9" customHeight="1" x14ac:dyDescent="0.25">
      <c r="A21" s="282"/>
      <c r="B21" s="289"/>
      <c r="C21" s="370"/>
      <c r="D21" s="55" t="s">
        <v>32</v>
      </c>
      <c r="E21" s="33">
        <f>VLOOKUP(D21,국내2!$C$5:$P$33,$E$5+1,0)</f>
        <v>6788</v>
      </c>
      <c r="F21" s="34">
        <f t="shared" si="0"/>
        <v>-0.14745038934940968</v>
      </c>
      <c r="G21" s="35">
        <f t="shared" si="1"/>
        <v>-0.24392960570282915</v>
      </c>
      <c r="H21" s="36">
        <f>VLOOKUP(D21,국내2!$C$71:$P$96,$E$5+1,0)</f>
        <v>7962</v>
      </c>
      <c r="I21" s="37">
        <f>VLOOKUP(D21,국내2!$C$5:$P$33,$I$5+1,0)</f>
        <v>8978</v>
      </c>
      <c r="J21" s="33">
        <f>국내2!P20</f>
        <v>80479</v>
      </c>
      <c r="K21" s="35">
        <f t="shared" si="3"/>
        <v>6.911897550348052E-2</v>
      </c>
      <c r="L21" s="108">
        <f>SUM(국내2!D85:'국내2'!M85)</f>
        <v>75276</v>
      </c>
    </row>
    <row r="22" spans="1:12" ht="21.9" customHeight="1" x14ac:dyDescent="0.25">
      <c r="A22" s="282"/>
      <c r="B22" s="289"/>
      <c r="C22" s="370"/>
      <c r="D22" s="55" t="s">
        <v>33</v>
      </c>
      <c r="E22" s="33">
        <f>VLOOKUP(D22,국내2!$C$5:$P$33,$E$5+1,0)</f>
        <v>0</v>
      </c>
      <c r="F22" s="34">
        <f t="shared" si="0"/>
        <v>-1</v>
      </c>
      <c r="G22" s="35" t="e">
        <f t="shared" si="1"/>
        <v>#DIV/0!</v>
      </c>
      <c r="H22" s="36">
        <f>VLOOKUP(D22,국내2!$C$71:$P$96,$E$5+1,0)</f>
        <v>98</v>
      </c>
      <c r="I22" s="37">
        <f>VLOOKUP(D22,국내2!$C$5:$P$33,$I$5+1,0)</f>
        <v>0</v>
      </c>
      <c r="J22" s="33">
        <f>국내2!P21</f>
        <v>0</v>
      </c>
      <c r="K22" s="35">
        <f t="shared" si="3"/>
        <v>-1</v>
      </c>
      <c r="L22" s="108">
        <f>SUM(국내2!D86:'국내2'!M86)</f>
        <v>2216</v>
      </c>
    </row>
    <row r="23" spans="1:12" ht="21.9" customHeight="1" x14ac:dyDescent="0.25">
      <c r="A23" s="282"/>
      <c r="B23" s="289"/>
      <c r="C23" s="370"/>
      <c r="D23" s="55" t="s">
        <v>34</v>
      </c>
      <c r="E23" s="33">
        <f>VLOOKUP(D23,국내2!$C$5:$P$33,$E$5+1,0)</f>
        <v>4515</v>
      </c>
      <c r="F23" s="34">
        <f t="shared" si="0"/>
        <v>-0.20017714791851196</v>
      </c>
      <c r="G23" s="35">
        <f t="shared" si="1"/>
        <v>-0.33190292986090558</v>
      </c>
      <c r="H23" s="36">
        <f>VLOOKUP(D23,국내2!$C$71:$P$96,$E$5+1,0)</f>
        <v>5645</v>
      </c>
      <c r="I23" s="37">
        <f>VLOOKUP(D23,국내2!$C$5:$P$33,$I$5+1,0)</f>
        <v>6758</v>
      </c>
      <c r="J23" s="33">
        <f>국내2!P22</f>
        <v>66984</v>
      </c>
      <c r="K23" s="35">
        <f t="shared" si="3"/>
        <v>-1.4897716075709222E-2</v>
      </c>
      <c r="L23" s="108">
        <f>SUM(국내2!D87:'국내2'!M87)</f>
        <v>67997</v>
      </c>
    </row>
    <row r="24" spans="1:12" ht="21.9" customHeight="1" x14ac:dyDescent="0.25">
      <c r="A24" s="282"/>
      <c r="B24" s="290"/>
      <c r="C24" s="371"/>
      <c r="D24" s="55" t="s">
        <v>35</v>
      </c>
      <c r="E24" s="33">
        <f>VLOOKUP(D24,국내2!$C$5:$P$33,$E$5+1,0)</f>
        <v>611</v>
      </c>
      <c r="F24" s="34" t="e">
        <f>(E24-H24)/H24</f>
        <v>#DIV/0!</v>
      </c>
      <c r="G24" s="35">
        <f>(E24-I24)/I24</f>
        <v>-0.21364221364221364</v>
      </c>
      <c r="H24" s="36">
        <v>0</v>
      </c>
      <c r="I24" s="37">
        <f>VLOOKUP(D24,국내2!$C$5:$P$33,$I$5+1,0)</f>
        <v>777</v>
      </c>
      <c r="J24" s="33">
        <f>국내2!P23</f>
        <v>7540</v>
      </c>
      <c r="K24" s="35" t="e">
        <f>(J24-L24)/L24</f>
        <v>#DIV/0!</v>
      </c>
      <c r="L24" s="108">
        <v>0</v>
      </c>
    </row>
    <row r="25" spans="1:12" ht="21.9" customHeight="1" x14ac:dyDescent="0.25">
      <c r="A25" s="282"/>
      <c r="B25" s="290"/>
      <c r="C25" s="371"/>
      <c r="D25" s="38" t="s">
        <v>36</v>
      </c>
      <c r="E25" s="39">
        <f>SUM(E14:E24)</f>
        <v>23926</v>
      </c>
      <c r="F25" s="40">
        <f t="shared" si="0"/>
        <v>-0.1982440855170565</v>
      </c>
      <c r="G25" s="41">
        <f t="shared" si="1"/>
        <v>-0.26629868138607787</v>
      </c>
      <c r="H25" s="42">
        <f>SUM(H14:H23)</f>
        <v>29842</v>
      </c>
      <c r="I25" s="43">
        <f>SUM(I14:I24)</f>
        <v>32610</v>
      </c>
      <c r="J25" s="39">
        <f>SUM(J14:J24)</f>
        <v>304107</v>
      </c>
      <c r="K25" s="41">
        <f t="shared" ref="K25:K38" si="4">(J25-L25)/L25</f>
        <v>4.4309144105163394E-2</v>
      </c>
      <c r="L25" s="109">
        <f>SUM(L14:L23)</f>
        <v>291204</v>
      </c>
    </row>
    <row r="26" spans="1:12" ht="21.9" customHeight="1" x14ac:dyDescent="0.25">
      <c r="A26" s="282"/>
      <c r="B26" s="289"/>
      <c r="C26" s="370"/>
      <c r="D26" s="55" t="s">
        <v>37</v>
      </c>
      <c r="E26" s="33">
        <f>VLOOKUP(D26,국내2!$C$5:$P$33,$E$5+1,0)</f>
        <v>1814</v>
      </c>
      <c r="F26" s="34" t="e">
        <f t="shared" si="0"/>
        <v>#DIV/0!</v>
      </c>
      <c r="G26" s="35">
        <f t="shared" si="1"/>
        <v>1.6994047619047619</v>
      </c>
      <c r="H26" s="36">
        <v>0</v>
      </c>
      <c r="I26" s="37">
        <f>VLOOKUP(D26,국내2!$C$5:$P$33,$I$5+1,0)</f>
        <v>672</v>
      </c>
      <c r="J26" s="33">
        <f>국내2!P25</f>
        <v>2647</v>
      </c>
      <c r="K26" s="35" t="e">
        <f t="shared" si="4"/>
        <v>#DIV/0!</v>
      </c>
      <c r="L26" s="108">
        <v>0</v>
      </c>
    </row>
    <row r="27" spans="1:12" ht="21.9" customHeight="1" x14ac:dyDescent="0.25">
      <c r="A27" s="282"/>
      <c r="B27" s="289"/>
      <c r="C27" s="370"/>
      <c r="D27" s="55" t="s">
        <v>38</v>
      </c>
      <c r="E27" s="33">
        <f>VLOOKUP(D27,국내2!$C$5:$P$33,$E$5+1,0)</f>
        <v>2847</v>
      </c>
      <c r="F27" s="34">
        <f>(E27-H27)/H27</f>
        <v>-0.1055607917059378</v>
      </c>
      <c r="G27" s="35">
        <f>(E27-I27)/I27</f>
        <v>-0.11802973977695168</v>
      </c>
      <c r="H27" s="36">
        <f>VLOOKUP(D27,국내2!$C$71:$P$96,$E$5+1,0)</f>
        <v>3183</v>
      </c>
      <c r="I27" s="37">
        <f>VLOOKUP(D27,국내2!$C$5:$P$33,$I$5+1,0)</f>
        <v>3228</v>
      </c>
      <c r="J27" s="33">
        <f>국내2!P26</f>
        <v>30644</v>
      </c>
      <c r="K27" s="35">
        <f>(J27-L27)/L27</f>
        <v>-0.12340522913210138</v>
      </c>
      <c r="L27" s="108">
        <f>SUM(국내2!D89:'국내2'!M89)</f>
        <v>34958</v>
      </c>
    </row>
    <row r="28" spans="1:12" ht="21.9" customHeight="1" x14ac:dyDescent="0.25">
      <c r="A28" s="282"/>
      <c r="B28" s="289"/>
      <c r="C28" s="370"/>
      <c r="D28" s="55" t="s">
        <v>39</v>
      </c>
      <c r="E28" s="33">
        <f>VLOOKUP(D28,국내2!$C$5:$P$33,$E$5+1,0)</f>
        <v>95</v>
      </c>
      <c r="F28" s="34">
        <f t="shared" si="0"/>
        <v>-0.23387096774193547</v>
      </c>
      <c r="G28" s="35">
        <f t="shared" si="1"/>
        <v>-0.30656934306569344</v>
      </c>
      <c r="H28" s="36">
        <f>VLOOKUP(D28,국내2!$C$71:$P$96,$E$5+1,0)</f>
        <v>124</v>
      </c>
      <c r="I28" s="37">
        <f>VLOOKUP(D28,국내2!$C$5:$P$33,$I$5+1,0)</f>
        <v>137</v>
      </c>
      <c r="J28" s="33">
        <f>국내2!P27</f>
        <v>1165</v>
      </c>
      <c r="K28" s="35">
        <f t="shared" si="4"/>
        <v>1.1284722222222222E-2</v>
      </c>
      <c r="L28" s="108">
        <f>SUM(국내2!D90:'국내2'!M90)</f>
        <v>1152</v>
      </c>
    </row>
    <row r="29" spans="1:12" ht="21.9" customHeight="1" x14ac:dyDescent="0.25">
      <c r="A29" s="282"/>
      <c r="B29" s="290"/>
      <c r="C29" s="376"/>
      <c r="D29" s="171" t="s">
        <v>40</v>
      </c>
      <c r="E29" s="172">
        <f>SUM(E26:E28)</f>
        <v>4756</v>
      </c>
      <c r="F29" s="173">
        <f t="shared" si="0"/>
        <v>0.43816147565769581</v>
      </c>
      <c r="G29" s="174">
        <f t="shared" si="1"/>
        <v>0.17810255139955414</v>
      </c>
      <c r="H29" s="175">
        <f>SUM(H26:H28)</f>
        <v>3307</v>
      </c>
      <c r="I29" s="270">
        <f>SUM(I26:I28)</f>
        <v>4037</v>
      </c>
      <c r="J29" s="172">
        <f>SUM(J26:J28)</f>
        <v>34456</v>
      </c>
      <c r="K29" s="174">
        <f t="shared" si="4"/>
        <v>-4.5804486291885903E-2</v>
      </c>
      <c r="L29" s="177">
        <f>SUM(L26:L28)</f>
        <v>36110</v>
      </c>
    </row>
    <row r="30" spans="1:12" ht="21.9" customHeight="1" x14ac:dyDescent="0.25">
      <c r="A30" s="283"/>
      <c r="B30" s="351" t="s">
        <v>41</v>
      </c>
      <c r="C30" s="352"/>
      <c r="D30" s="353"/>
      <c r="E30" s="284">
        <f>E13+E25+E29</f>
        <v>40001</v>
      </c>
      <c r="F30" s="285">
        <f>(E30-H30)/H30</f>
        <v>-0.13088538837588268</v>
      </c>
      <c r="G30" s="286">
        <f t="shared" si="1"/>
        <v>-0.18366972102610152</v>
      </c>
      <c r="H30" s="287">
        <f>H13+H25+H29</f>
        <v>46025</v>
      </c>
      <c r="I30" s="287">
        <f>I13+I25+I29</f>
        <v>49001</v>
      </c>
      <c r="J30" s="284">
        <f>J13+J25+J29</f>
        <v>453943</v>
      </c>
      <c r="K30" s="286">
        <f>(J30-L30)/L30</f>
        <v>1.7980602119190447E-2</v>
      </c>
      <c r="L30" s="288">
        <f>L13+L25+L29</f>
        <v>445925</v>
      </c>
    </row>
    <row r="31" spans="1:12" ht="21.9" customHeight="1" x14ac:dyDescent="0.25">
      <c r="A31" s="282"/>
      <c r="B31" s="271"/>
      <c r="C31" s="273"/>
      <c r="D31" s="55" t="s">
        <v>42</v>
      </c>
      <c r="E31" s="33">
        <f>VLOOKUP(D31,국내2!$C$5:$P$33,$E$5+1,0)</f>
        <v>0</v>
      </c>
      <c r="F31" s="34" t="e">
        <f>(E31-H31)/H31</f>
        <v>#DIV/0!</v>
      </c>
      <c r="G31" s="35" t="e">
        <f t="shared" ref="G31:G36" si="5">(E31-I31)/I31</f>
        <v>#DIV/0!</v>
      </c>
      <c r="H31" s="36">
        <f>VLOOKUP(D31,국내2!$C$71:$P$96,$E$5+1,0)</f>
        <v>0</v>
      </c>
      <c r="I31" s="37">
        <f>VLOOKUP(D31,국내2!$C$5:$P$33,$I$5+1,0)</f>
        <v>0</v>
      </c>
      <c r="J31" s="33">
        <f>국내2!P30</f>
        <v>0</v>
      </c>
      <c r="K31" s="35" t="e">
        <f>(J31-L31)/L31</f>
        <v>#DIV/0!</v>
      </c>
      <c r="L31" s="108">
        <f>SUM(국내2!D93:'국내2'!M93)</f>
        <v>0</v>
      </c>
    </row>
    <row r="32" spans="1:12" ht="21.9" customHeight="1" x14ac:dyDescent="0.25">
      <c r="A32" s="282"/>
      <c r="B32" s="272"/>
      <c r="C32" s="274"/>
      <c r="D32" s="55" t="s">
        <v>43</v>
      </c>
      <c r="E32" s="33">
        <v>343</v>
      </c>
      <c r="F32" s="34">
        <f>(E32-H32)/H32</f>
        <v>-0.10909090909090909</v>
      </c>
      <c r="G32" s="35">
        <f t="shared" si="5"/>
        <v>0.71499999999999997</v>
      </c>
      <c r="H32" s="36">
        <f>VLOOKUP(D32,국내2!$C$71:$P$96,$E$5+1,0)</f>
        <v>385</v>
      </c>
      <c r="I32" s="37">
        <f>VLOOKUP(D32,국내2!$C$5:$P$33,$I$5+1,0)</f>
        <v>200</v>
      </c>
      <c r="J32" s="33">
        <f>국내2!P31</f>
        <v>1509</v>
      </c>
      <c r="K32" s="35">
        <f>(J32-L32)/L32</f>
        <v>-0.1107837360047142</v>
      </c>
      <c r="L32" s="108">
        <f>SUM(국내2!D94:'국내2'!M94)</f>
        <v>1697</v>
      </c>
    </row>
    <row r="33" spans="1:12" ht="21.9" customHeight="1" x14ac:dyDescent="0.25">
      <c r="A33" s="282"/>
      <c r="B33" s="276"/>
      <c r="C33" s="275"/>
      <c r="D33" s="171" t="s">
        <v>8</v>
      </c>
      <c r="E33" s="172">
        <f>SUM(E31:E32)</f>
        <v>343</v>
      </c>
      <c r="F33" s="173">
        <f>(E33-H33)/H33</f>
        <v>-0.10909090909090909</v>
      </c>
      <c r="G33" s="174">
        <f t="shared" si="5"/>
        <v>0.71499999999999997</v>
      </c>
      <c r="H33" s="175">
        <f>SUM(H31:H32)</f>
        <v>385</v>
      </c>
      <c r="I33" s="176">
        <f>SUM(I31:I32)</f>
        <v>200</v>
      </c>
      <c r="J33" s="172">
        <f>SUM(J31:J32)</f>
        <v>1509</v>
      </c>
      <c r="K33" s="174">
        <f>(J33-L33)/L33</f>
        <v>-0.1107837360047142</v>
      </c>
      <c r="L33" s="177">
        <f>SUM(L31:L32)</f>
        <v>1697</v>
      </c>
    </row>
    <row r="34" spans="1:12" ht="21.9" customHeight="1" x14ac:dyDescent="0.25">
      <c r="A34" s="372" t="s">
        <v>44</v>
      </c>
      <c r="B34" s="373"/>
      <c r="C34" s="374"/>
      <c r="D34" s="375"/>
      <c r="E34" s="277">
        <f>E13+E25+E29+E33</f>
        <v>40344</v>
      </c>
      <c r="F34" s="278">
        <f>(E34-H34)/H34</f>
        <v>-0.13070458952811895</v>
      </c>
      <c r="G34" s="279">
        <f t="shared" si="5"/>
        <v>-0.18001666632792016</v>
      </c>
      <c r="H34" s="280">
        <f>H13+H25+H29+H33</f>
        <v>46410</v>
      </c>
      <c r="I34" s="280">
        <f>I13+I25+I29+I33</f>
        <v>49201</v>
      </c>
      <c r="J34" s="277">
        <f>J13+J25+J29+J33</f>
        <v>455452</v>
      </c>
      <c r="K34" s="279">
        <f t="shared" si="4"/>
        <v>1.7492437815835683E-2</v>
      </c>
      <c r="L34" s="281">
        <f>L13+L25+L29+L33</f>
        <v>447622</v>
      </c>
    </row>
    <row r="35" spans="1:12" ht="21.9" customHeight="1" x14ac:dyDescent="0.25">
      <c r="A35" s="229"/>
      <c r="B35" s="268"/>
      <c r="C35" s="232"/>
      <c r="D35" s="228" t="s">
        <v>45</v>
      </c>
      <c r="E35" s="234">
        <f>VLOOKUP(E5,'⊙ 월별'!B3:J15,5,0)</f>
        <v>223014</v>
      </c>
      <c r="F35" s="235">
        <f t="shared" si="0"/>
        <v>2.1177806574506956E-2</v>
      </c>
      <c r="G35" s="236">
        <f t="shared" si="5"/>
        <v>1.8659017306980802E-2</v>
      </c>
      <c r="H35" s="240">
        <f>VLOOKUP(H5,'⊙ 월별'!B19:J31,5,0)</f>
        <v>218389</v>
      </c>
      <c r="I35" s="241">
        <f>VLOOKUP(I5,'⊙ 월별'!B3:J15,5,0)</f>
        <v>218929</v>
      </c>
      <c r="J35" s="234">
        <f>'⊙ 월별'!F15</f>
        <v>2178148</v>
      </c>
      <c r="K35" s="236">
        <f t="shared" si="4"/>
        <v>2.0781665045149413E-2</v>
      </c>
      <c r="L35" s="107">
        <f>SUM('⊙ 월별'!F19:F28)</f>
        <v>2133804</v>
      </c>
    </row>
    <row r="36" spans="1:12" ht="21.9" customHeight="1" x14ac:dyDescent="0.25">
      <c r="A36" s="230"/>
      <c r="B36" s="269"/>
      <c r="C36" s="233"/>
      <c r="D36" s="231" t="s">
        <v>46</v>
      </c>
      <c r="E36" s="237">
        <f>VLOOKUP(E5,'⊙ 월별'!B3:J15,6,0)</f>
        <v>546</v>
      </c>
      <c r="F36" s="238">
        <f t="shared" si="0"/>
        <v>1.834862385321101E-3</v>
      </c>
      <c r="G36" s="239">
        <f t="shared" si="5"/>
        <v>1.1245136186770428</v>
      </c>
      <c r="H36" s="242">
        <f>VLOOKUP(H5,'⊙ 월별'!B19:J31,6,0)</f>
        <v>545</v>
      </c>
      <c r="I36" s="243">
        <f>VLOOKUP(I5,'⊙ 월별'!B3:J15,6,0)</f>
        <v>257</v>
      </c>
      <c r="J36" s="237">
        <f>'⊙ 월별'!G15</f>
        <v>2977</v>
      </c>
      <c r="K36" s="239">
        <f t="shared" si="4"/>
        <v>-7.9183420971234153E-2</v>
      </c>
      <c r="L36" s="244">
        <f>SUM('⊙ 월별'!G19:G28)</f>
        <v>3233</v>
      </c>
    </row>
    <row r="37" spans="1:12" ht="21.9" customHeight="1" x14ac:dyDescent="0.25">
      <c r="A37" s="365" t="s">
        <v>47</v>
      </c>
      <c r="B37" s="366"/>
      <c r="C37" s="367"/>
      <c r="D37" s="368"/>
      <c r="E37" s="44">
        <f>E35+E36</f>
        <v>223560</v>
      </c>
      <c r="F37" s="45">
        <f t="shared" si="0"/>
        <v>2.1129655512620242E-2</v>
      </c>
      <c r="G37" s="46">
        <f t="shared" si="1"/>
        <v>1.9955654101995565E-2</v>
      </c>
      <c r="H37" s="47">
        <f>H35+H36</f>
        <v>218934</v>
      </c>
      <c r="I37" s="48">
        <f>I35+I36</f>
        <v>219186</v>
      </c>
      <c r="J37" s="44">
        <f>J35+J36</f>
        <v>2181125</v>
      </c>
      <c r="K37" s="46">
        <f t="shared" si="4"/>
        <v>2.063043363310977E-2</v>
      </c>
      <c r="L37" s="110">
        <f>L35+L36</f>
        <v>2137037</v>
      </c>
    </row>
    <row r="38" spans="1:12" ht="21.9" customHeight="1" thickBot="1" x14ac:dyDescent="0.3">
      <c r="A38" s="361" t="s">
        <v>9</v>
      </c>
      <c r="B38" s="362"/>
      <c r="C38" s="363"/>
      <c r="D38" s="364"/>
      <c r="E38" s="49">
        <f>E34+E37</f>
        <v>263904</v>
      </c>
      <c r="F38" s="50">
        <f t="shared" si="0"/>
        <v>-5.4269175108538348E-3</v>
      </c>
      <c r="G38" s="51">
        <f t="shared" si="1"/>
        <v>-1.6703491599816683E-2</v>
      </c>
      <c r="H38" s="52">
        <f>H34+H37</f>
        <v>265344</v>
      </c>
      <c r="I38" s="53">
        <f>I37+I34</f>
        <v>268387</v>
      </c>
      <c r="J38" s="49">
        <f>J34+J37</f>
        <v>2636577</v>
      </c>
      <c r="K38" s="51">
        <f t="shared" si="4"/>
        <v>2.0086982460742402E-2</v>
      </c>
      <c r="L38" s="54">
        <f>L37+L34</f>
        <v>2584659</v>
      </c>
    </row>
    <row r="39" spans="1:12" ht="7.5" customHeight="1" thickTop="1" x14ac:dyDescent="0.25">
      <c r="J39" s="13"/>
    </row>
    <row r="40" spans="1:12" ht="26.25" customHeight="1" x14ac:dyDescent="0.25">
      <c r="A40" s="56" t="s">
        <v>48</v>
      </c>
      <c r="B40" s="56"/>
      <c r="C40" s="56"/>
      <c r="D40" s="57"/>
      <c r="E40" s="58"/>
      <c r="F40" s="59"/>
      <c r="G40" s="60"/>
      <c r="H40" s="61"/>
      <c r="I40" s="61"/>
      <c r="J40" s="58"/>
      <c r="K40" s="60"/>
      <c r="L40" s="58"/>
    </row>
    <row r="41" spans="1:12" ht="1.95" customHeight="1" x14ac:dyDescent="0.25">
      <c r="A41" s="62"/>
      <c r="B41" s="62"/>
      <c r="C41" s="58"/>
      <c r="D41" s="63"/>
      <c r="E41" s="64"/>
      <c r="F41" s="65"/>
      <c r="G41" s="65"/>
      <c r="H41" s="66"/>
      <c r="I41" s="66"/>
      <c r="J41" s="64"/>
      <c r="K41" s="65"/>
      <c r="L41" s="66"/>
    </row>
    <row r="42" spans="1:12" ht="18.600000000000001" customHeight="1" x14ac:dyDescent="0.25">
      <c r="A42" s="62"/>
      <c r="B42" s="62"/>
      <c r="C42" s="349" t="s">
        <v>49</v>
      </c>
      <c r="D42" s="350"/>
      <c r="E42" s="145">
        <f>E7</f>
        <v>3382</v>
      </c>
      <c r="F42" s="146">
        <f>(E42-H42)/H42</f>
        <v>3.1726662599145819E-2</v>
      </c>
      <c r="G42" s="147">
        <f>(E42-I42)/I42</f>
        <v>-0.15513364976267799</v>
      </c>
      <c r="H42" s="70">
        <f>H7</f>
        <v>3278</v>
      </c>
      <c r="I42" s="71">
        <f>I7</f>
        <v>4003</v>
      </c>
      <c r="J42" s="145">
        <f>J7</f>
        <v>39907</v>
      </c>
      <c r="K42" s="147">
        <f>(J42-L42)/L42</f>
        <v>-2.7986706314500611E-3</v>
      </c>
      <c r="L42" s="72">
        <f>L7</f>
        <v>40019</v>
      </c>
    </row>
    <row r="43" spans="1:12" ht="18.600000000000001" customHeight="1" x14ac:dyDescent="0.25">
      <c r="A43" s="62"/>
      <c r="B43" s="62"/>
      <c r="C43" s="76"/>
      <c r="D43" s="82" t="s">
        <v>50</v>
      </c>
      <c r="E43" s="130">
        <f>HLOOKUP(E5,국내2!C4:P66,34,0)</f>
        <v>791</v>
      </c>
      <c r="F43" s="131">
        <f>(E43-H43)/H43</f>
        <v>2.2685950413223139</v>
      </c>
      <c r="G43" s="132">
        <f>(E43-I43)/I43</f>
        <v>-0.24015369836695485</v>
      </c>
      <c r="H43" s="133">
        <f>HLOOKUP(H5,국내2!C70:P129,31,0)</f>
        <v>242</v>
      </c>
      <c r="I43" s="81">
        <f>HLOOKUP(I5,국내2!C4:P66,34,0)</f>
        <v>1041</v>
      </c>
      <c r="J43" s="130">
        <f>국내2!P37</f>
        <v>8829</v>
      </c>
      <c r="K43" s="132">
        <f>(J43-L43)/L43</f>
        <v>-7.7525859366837327E-2</v>
      </c>
      <c r="L43" s="134">
        <f>SUM(국내2!D100:M100)</f>
        <v>9571</v>
      </c>
    </row>
    <row r="44" spans="1:12" ht="7.5" customHeight="1" x14ac:dyDescent="0.25">
      <c r="A44" s="58"/>
      <c r="B44" s="58"/>
      <c r="C44" s="58"/>
      <c r="D44" s="57"/>
      <c r="E44" s="58"/>
      <c r="F44" s="59"/>
      <c r="G44" s="60"/>
      <c r="H44" s="144"/>
      <c r="I44" s="58"/>
      <c r="J44" s="58"/>
      <c r="K44" s="60"/>
      <c r="L44" s="58"/>
    </row>
    <row r="45" spans="1:12" ht="18.600000000000001" customHeight="1" x14ac:dyDescent="0.25">
      <c r="A45" s="62"/>
      <c r="B45" s="62"/>
      <c r="C45" s="349" t="s">
        <v>51</v>
      </c>
      <c r="D45" s="350"/>
      <c r="E45" s="145">
        <f>E10</f>
        <v>3045</v>
      </c>
      <c r="F45" s="146">
        <f>(E45-H45)/H45</f>
        <v>4.9504950495049506E-3</v>
      </c>
      <c r="G45" s="147">
        <f>(E45-I45)/I45</f>
        <v>-2.622321714102974E-2</v>
      </c>
      <c r="H45" s="70">
        <f>H10</f>
        <v>3030</v>
      </c>
      <c r="I45" s="71">
        <f>I10</f>
        <v>3127</v>
      </c>
      <c r="J45" s="145">
        <f>J10</f>
        <v>29709</v>
      </c>
      <c r="K45" s="147">
        <f>(J45-L45)/L45</f>
        <v>2.1384123491594183E-2</v>
      </c>
      <c r="L45" s="72">
        <f>L10</f>
        <v>29087</v>
      </c>
    </row>
    <row r="46" spans="1:12" ht="18.600000000000001" customHeight="1" x14ac:dyDescent="0.25">
      <c r="A46" s="62"/>
      <c r="B46" s="62"/>
      <c r="C46" s="76"/>
      <c r="D46" s="82" t="s">
        <v>52</v>
      </c>
      <c r="E46" s="130">
        <f>HLOOKUP(E5,국내2!C4:P66,38,0)</f>
        <v>546</v>
      </c>
      <c r="F46" s="131">
        <f>(E46-H46)/H46</f>
        <v>-0.18385650224215247</v>
      </c>
      <c r="G46" s="132">
        <f>(E46-I46)/I46</f>
        <v>-0.2890625</v>
      </c>
      <c r="H46" s="133">
        <f>HLOOKUP(H5,국내2!C70:P129,35,0)</f>
        <v>669</v>
      </c>
      <c r="I46" s="81">
        <f>HLOOKUP(I5,국내2!C4:P66,38,0)</f>
        <v>768</v>
      </c>
      <c r="J46" s="130">
        <f>국내2!P41</f>
        <v>6422</v>
      </c>
      <c r="K46" s="132">
        <f>(J46-L46)/L46</f>
        <v>-0.21778319123020706</v>
      </c>
      <c r="L46" s="134">
        <f>SUM(국내2!D104:M104)</f>
        <v>8210</v>
      </c>
    </row>
    <row r="47" spans="1:12" ht="7.5" customHeight="1" x14ac:dyDescent="0.25">
      <c r="A47" s="58"/>
      <c r="B47" s="58"/>
      <c r="C47" s="58"/>
      <c r="D47" s="57"/>
      <c r="E47" s="58"/>
      <c r="F47" s="59"/>
      <c r="G47" s="60"/>
      <c r="H47" s="144"/>
      <c r="I47" s="58"/>
      <c r="J47" s="58"/>
      <c r="K47" s="60"/>
      <c r="L47" s="58"/>
    </row>
    <row r="48" spans="1:12" ht="18.600000000000001" customHeight="1" x14ac:dyDescent="0.25">
      <c r="A48" s="58"/>
      <c r="B48" s="58"/>
      <c r="C48" s="349" t="s">
        <v>53</v>
      </c>
      <c r="D48" s="350"/>
      <c r="E48" s="67">
        <f>E11</f>
        <v>2129</v>
      </c>
      <c r="F48" s="68">
        <f>(E48-H48)/H48</f>
        <v>-0.57223226843480013</v>
      </c>
      <c r="G48" s="69">
        <f>(E48-I48)/I48</f>
        <v>-1.3895321908290875E-2</v>
      </c>
      <c r="H48" s="70">
        <f>H11</f>
        <v>4977</v>
      </c>
      <c r="I48" s="71">
        <f>I11</f>
        <v>2159</v>
      </c>
      <c r="J48" s="67">
        <f>J11</f>
        <v>23428</v>
      </c>
      <c r="K48" s="69">
        <f>(J48-L48)/L48</f>
        <v>-0.10044540009215175</v>
      </c>
      <c r="L48" s="72">
        <f>L11</f>
        <v>26044</v>
      </c>
    </row>
    <row r="49" spans="1:14" ht="18.600000000000001" customHeight="1" x14ac:dyDescent="0.25">
      <c r="A49" s="58"/>
      <c r="B49" s="58"/>
      <c r="C49" s="76"/>
      <c r="D49" s="82" t="s">
        <v>54</v>
      </c>
      <c r="E49" s="130">
        <f>HLOOKUP(E5,국내2!C4:P66,42,0)</f>
        <v>1294</v>
      </c>
      <c r="F49" s="131">
        <f>(E49-H49)/H49</f>
        <v>-0.61396181384248205</v>
      </c>
      <c r="G49" s="132">
        <f>(E49-I49)/I49</f>
        <v>-1.3719512195121951E-2</v>
      </c>
      <c r="H49" s="80">
        <f>HLOOKUP(H5,국내2!C70:P129,39,0)</f>
        <v>3352</v>
      </c>
      <c r="I49" s="81">
        <f>HLOOKUP(I5,국내2!C4:P66,42,0)</f>
        <v>1312</v>
      </c>
      <c r="J49" s="130">
        <f>국내2!P45</f>
        <v>14364</v>
      </c>
      <c r="K49" s="132">
        <f>(J49-L49)/L49</f>
        <v>4.6100065545116892E-2</v>
      </c>
      <c r="L49" s="134">
        <f>SUM(국내2!D108:M108)</f>
        <v>13731</v>
      </c>
      <c r="N49" s="18"/>
    </row>
    <row r="50" spans="1:14" ht="6.75" customHeight="1" x14ac:dyDescent="0.25">
      <c r="N50" s="18"/>
    </row>
    <row r="51" spans="1:14" ht="18.600000000000001" customHeight="1" x14ac:dyDescent="0.25">
      <c r="C51" s="349" t="s">
        <v>55</v>
      </c>
      <c r="D51" s="350"/>
      <c r="E51" s="67">
        <f>E14</f>
        <v>1128</v>
      </c>
      <c r="F51" s="68">
        <f>(E51-H51)/H51</f>
        <v>0.17377731529656607</v>
      </c>
      <c r="G51" s="69">
        <f>(E51-I51)/I51</f>
        <v>7.6335877862595422E-2</v>
      </c>
      <c r="H51" s="136">
        <f>H14</f>
        <v>961</v>
      </c>
      <c r="I51" s="71">
        <f>I14</f>
        <v>1048</v>
      </c>
      <c r="J51" s="67">
        <f>J14</f>
        <v>10907</v>
      </c>
      <c r="K51" s="69">
        <f>(J51-L51)/L51</f>
        <v>-0.13635283870456885</v>
      </c>
      <c r="L51" s="138">
        <f>L14</f>
        <v>12629</v>
      </c>
    </row>
    <row r="52" spans="1:14" ht="18.600000000000001" customHeight="1" x14ac:dyDescent="0.25">
      <c r="C52" s="73"/>
      <c r="D52" s="155" t="s">
        <v>56</v>
      </c>
      <c r="E52" s="74">
        <f>HLOOKUP(E5,국내2!C4:P66,45,0)</f>
        <v>1122</v>
      </c>
      <c r="F52" s="135">
        <f>E52/H52-1</f>
        <v>0.1923485653560042</v>
      </c>
      <c r="G52" s="135">
        <f>E52/I52-1</f>
        <v>9.4634146341463499E-2</v>
      </c>
      <c r="H52" s="137">
        <f>HLOOKUP(H5,국내2!C70:P129,42,0)</f>
        <v>941</v>
      </c>
      <c r="I52" s="140">
        <f>HLOOKUP(I5,국내2!C4:P66,45,0)</f>
        <v>1025</v>
      </c>
      <c r="J52" s="74">
        <f>국내2!P48</f>
        <v>10644</v>
      </c>
      <c r="K52" s="75">
        <f>J52/L52-1</f>
        <v>-6.4839219820769678E-2</v>
      </c>
      <c r="L52" s="139">
        <f>SUM(국내2!D111:M111)</f>
        <v>11382</v>
      </c>
    </row>
    <row r="53" spans="1:14" ht="18.600000000000001" customHeight="1" thickBot="1" x14ac:dyDescent="0.3">
      <c r="C53" s="76"/>
      <c r="D53" s="82" t="s">
        <v>57</v>
      </c>
      <c r="E53" s="77">
        <f>E51-E52</f>
        <v>6</v>
      </c>
      <c r="F53" s="78">
        <f>E53/H53-1</f>
        <v>-0.7</v>
      </c>
      <c r="G53" s="79">
        <f>E53/I53-1</f>
        <v>-0.73913043478260865</v>
      </c>
      <c r="H53" s="133">
        <f>H51-H52</f>
        <v>20</v>
      </c>
      <c r="I53" s="141">
        <f>I51-I52</f>
        <v>23</v>
      </c>
      <c r="J53" s="77">
        <f>J51-J52</f>
        <v>263</v>
      </c>
      <c r="K53" s="79">
        <f>J53/L53-1</f>
        <v>-0.78909382518043303</v>
      </c>
      <c r="L53" s="134">
        <f>L51-L52</f>
        <v>1247</v>
      </c>
      <c r="N53" s="5" t="s">
        <v>58</v>
      </c>
    </row>
    <row r="54" spans="1:14" ht="7.2" customHeight="1" thickBot="1" x14ac:dyDescent="0.3">
      <c r="C54" s="58"/>
      <c r="D54" s="152"/>
      <c r="E54" s="304"/>
      <c r="F54" s="305"/>
      <c r="G54" s="305"/>
      <c r="H54" s="306"/>
      <c r="I54" s="307"/>
      <c r="J54" s="304"/>
      <c r="K54" s="305"/>
      <c r="L54" s="66"/>
    </row>
    <row r="55" spans="1:14" ht="18.600000000000001" customHeight="1" x14ac:dyDescent="0.25">
      <c r="C55" s="349" t="s">
        <v>59</v>
      </c>
      <c r="D55" s="350"/>
      <c r="E55" s="67">
        <f>E15</f>
        <v>1423</v>
      </c>
      <c r="F55" s="68">
        <f>E55/H55-1</f>
        <v>-0.32463217845277648</v>
      </c>
      <c r="G55" s="69">
        <f>E55/I55-1</f>
        <v>-0.26154644525168658</v>
      </c>
      <c r="H55" s="136">
        <f>H15</f>
        <v>2107</v>
      </c>
      <c r="I55" s="71">
        <f>I15</f>
        <v>1927</v>
      </c>
      <c r="J55" s="67">
        <f>J15</f>
        <v>20391</v>
      </c>
      <c r="K55" s="69">
        <f>J55/L55-1</f>
        <v>1.0177122501484268</v>
      </c>
      <c r="L55" s="138">
        <f>L15</f>
        <v>10106</v>
      </c>
    </row>
    <row r="56" spans="1:14" ht="18.600000000000001" customHeight="1" thickBot="1" x14ac:dyDescent="0.3">
      <c r="C56" s="76"/>
      <c r="D56" s="82" t="s">
        <v>26</v>
      </c>
      <c r="E56" s="77">
        <f>E55</f>
        <v>1423</v>
      </c>
      <c r="F56" s="78">
        <f>E56/H56-1</f>
        <v>-0.32463217845277648</v>
      </c>
      <c r="G56" s="79">
        <f>E56/I56-1</f>
        <v>-0.26154644525168658</v>
      </c>
      <c r="H56" s="133">
        <f>H55</f>
        <v>2107</v>
      </c>
      <c r="I56" s="81">
        <f>I55</f>
        <v>1927</v>
      </c>
      <c r="J56" s="77">
        <f>J55</f>
        <v>20391</v>
      </c>
      <c r="K56" s="79">
        <f>J56/L56-1</f>
        <v>1.0177122501484268</v>
      </c>
      <c r="L56" s="134">
        <f>L55</f>
        <v>10106</v>
      </c>
    </row>
    <row r="57" spans="1:14" ht="7.2" customHeight="1" thickBot="1" x14ac:dyDescent="0.3"/>
    <row r="58" spans="1:14" ht="18.600000000000001" customHeight="1" x14ac:dyDescent="0.25">
      <c r="C58" s="349" t="s">
        <v>60</v>
      </c>
      <c r="D58" s="350"/>
      <c r="E58" s="67">
        <f>E9</f>
        <v>654</v>
      </c>
      <c r="F58" s="68" t="e">
        <f>E58/H58-1</f>
        <v>#DIV/0!</v>
      </c>
      <c r="G58" s="69">
        <f>E58/I58-1</f>
        <v>-0.43179843614248481</v>
      </c>
      <c r="H58" s="136">
        <v>0</v>
      </c>
      <c r="I58" s="71">
        <f>I9</f>
        <v>1151</v>
      </c>
      <c r="J58" s="67">
        <f>J9</f>
        <v>7691</v>
      </c>
      <c r="K58" s="69" t="e">
        <f>J58/L58-1</f>
        <v>#DIV/0!</v>
      </c>
      <c r="L58" s="138">
        <f>L9</f>
        <v>0</v>
      </c>
    </row>
    <row r="59" spans="1:14" ht="18.600000000000001" customHeight="1" thickBot="1" x14ac:dyDescent="0.3">
      <c r="C59" s="76"/>
      <c r="D59" s="82" t="s">
        <v>61</v>
      </c>
      <c r="E59" s="77">
        <f>E58</f>
        <v>654</v>
      </c>
      <c r="F59" s="78" t="e">
        <f>E59/H59-1</f>
        <v>#DIV/0!</v>
      </c>
      <c r="G59" s="79">
        <f>E59/I59-1</f>
        <v>-0.43179843614248481</v>
      </c>
      <c r="H59" s="133">
        <f>H58</f>
        <v>0</v>
      </c>
      <c r="I59" s="81">
        <f>I58</f>
        <v>1151</v>
      </c>
      <c r="J59" s="77">
        <f>J58</f>
        <v>7691</v>
      </c>
      <c r="K59" s="79" t="e">
        <f>J59/L59-1</f>
        <v>#DIV/0!</v>
      </c>
      <c r="L59" s="134">
        <f>L58</f>
        <v>0</v>
      </c>
    </row>
    <row r="60" spans="1:14" ht="7.2" customHeight="1" thickBot="1" x14ac:dyDescent="0.3"/>
    <row r="61" spans="1:14" ht="18.600000000000001" customHeight="1" x14ac:dyDescent="0.25">
      <c r="C61" s="349" t="s">
        <v>62</v>
      </c>
      <c r="D61" s="350"/>
      <c r="E61" s="67">
        <f>E16</f>
        <v>1150</v>
      </c>
      <c r="F61" s="68" t="e">
        <f>E61/H61-1</f>
        <v>#DIV/0!</v>
      </c>
      <c r="G61" s="69">
        <f>E61/I61-1</f>
        <v>3.2279411764705879</v>
      </c>
      <c r="H61" s="136">
        <v>0</v>
      </c>
      <c r="I61" s="71">
        <f>I16</f>
        <v>272</v>
      </c>
      <c r="J61" s="67">
        <f>J16</f>
        <v>1422</v>
      </c>
      <c r="K61" s="69" t="e">
        <f>J61/L61-1</f>
        <v>#DIV/0!</v>
      </c>
      <c r="L61" s="138">
        <v>0</v>
      </c>
      <c r="M61" s="13"/>
    </row>
    <row r="62" spans="1:14" ht="18.600000000000001" customHeight="1" thickBot="1" x14ac:dyDescent="0.3">
      <c r="C62" s="76"/>
      <c r="D62" s="82" t="s">
        <v>27</v>
      </c>
      <c r="E62" s="77">
        <f>E61</f>
        <v>1150</v>
      </c>
      <c r="F62" s="78" t="e">
        <f>E62/H62-1</f>
        <v>#DIV/0!</v>
      </c>
      <c r="G62" s="79">
        <f>E62/I62-1</f>
        <v>3.2279411764705879</v>
      </c>
      <c r="H62" s="133">
        <v>0</v>
      </c>
      <c r="I62" s="81">
        <f>I61</f>
        <v>272</v>
      </c>
      <c r="J62" s="77">
        <f>J16</f>
        <v>1422</v>
      </c>
      <c r="K62" s="79" t="e">
        <f>J62/L62-1</f>
        <v>#DIV/0!</v>
      </c>
      <c r="L62" s="134">
        <f>L61</f>
        <v>0</v>
      </c>
      <c r="M62" s="13"/>
    </row>
    <row r="63" spans="1:14" ht="6.6" customHeight="1" thickBot="1" x14ac:dyDescent="0.3">
      <c r="C63" s="58"/>
      <c r="D63" s="152"/>
      <c r="E63" s="64"/>
      <c r="F63" s="65"/>
      <c r="G63" s="65"/>
      <c r="H63" s="66"/>
      <c r="I63" s="66"/>
      <c r="J63" s="64"/>
      <c r="K63" s="65"/>
      <c r="L63" s="66"/>
      <c r="M63" s="13"/>
    </row>
    <row r="64" spans="1:14" ht="18.600000000000001" customHeight="1" x14ac:dyDescent="0.25">
      <c r="C64" s="349" t="s">
        <v>63</v>
      </c>
      <c r="D64" s="350"/>
      <c r="E64" s="67">
        <f>E17</f>
        <v>747</v>
      </c>
      <c r="F64" s="68">
        <f>E64/H64-1</f>
        <v>0.34111310592459598</v>
      </c>
      <c r="G64" s="69">
        <f>E64/I64-1</f>
        <v>-0.43494704992435707</v>
      </c>
      <c r="H64" s="136">
        <f>H17</f>
        <v>557</v>
      </c>
      <c r="I64" s="71">
        <f>I17</f>
        <v>1322</v>
      </c>
      <c r="J64" s="67">
        <f>J17</f>
        <v>8893</v>
      </c>
      <c r="K64" s="69">
        <f>J64/L64-1</f>
        <v>9.3984499938491783E-2</v>
      </c>
      <c r="L64" s="138">
        <f>L17</f>
        <v>8129</v>
      </c>
      <c r="M64" s="13"/>
    </row>
    <row r="65" spans="3:12" ht="18.600000000000001" customHeight="1" thickBot="1" x14ac:dyDescent="0.3">
      <c r="C65" s="76"/>
      <c r="D65" s="82" t="s">
        <v>28</v>
      </c>
      <c r="E65" s="77">
        <f>E64</f>
        <v>747</v>
      </c>
      <c r="F65" s="78">
        <f>E65/H65-1</f>
        <v>0.34111310592459598</v>
      </c>
      <c r="G65" s="79">
        <f>E65/I65-1</f>
        <v>-0.43494704992435707</v>
      </c>
      <c r="H65" s="133">
        <f>H64</f>
        <v>557</v>
      </c>
      <c r="I65" s="81">
        <f>I64</f>
        <v>1322</v>
      </c>
      <c r="J65" s="77">
        <f>J64</f>
        <v>8893</v>
      </c>
      <c r="K65" s="79">
        <f>J65/L65-1</f>
        <v>9.3984499938491783E-2</v>
      </c>
      <c r="L65" s="134">
        <f>L64</f>
        <v>8129</v>
      </c>
    </row>
    <row r="66" spans="3:12" ht="6.6" customHeight="1" thickBot="1" x14ac:dyDescent="0.3">
      <c r="C66" s="58"/>
      <c r="D66" s="152"/>
      <c r="E66" s="64"/>
      <c r="F66" s="65"/>
      <c r="G66" s="65"/>
      <c r="H66" s="66"/>
      <c r="I66" s="66"/>
      <c r="J66" s="64"/>
      <c r="K66" s="65"/>
      <c r="L66" s="66"/>
    </row>
    <row r="67" spans="3:12" ht="18.600000000000001" customHeight="1" x14ac:dyDescent="0.25">
      <c r="C67" s="349" t="s">
        <v>64</v>
      </c>
      <c r="D67" s="350"/>
      <c r="E67" s="67">
        <f>E18</f>
        <v>144</v>
      </c>
      <c r="F67" s="68">
        <f>E67/H67-1</f>
        <v>-9.4339622641509413E-2</v>
      </c>
      <c r="G67" s="69">
        <f>E67/I67-1</f>
        <v>-2.0408163265306145E-2</v>
      </c>
      <c r="H67" s="136">
        <f>H18</f>
        <v>159</v>
      </c>
      <c r="I67" s="71">
        <f>I18</f>
        <v>147</v>
      </c>
      <c r="J67" s="67">
        <f>J18</f>
        <v>1344</v>
      </c>
      <c r="K67" s="69">
        <f>J67/L67-1</f>
        <v>-0.23592950540079594</v>
      </c>
      <c r="L67" s="138">
        <f>L18</f>
        <v>1759</v>
      </c>
    </row>
    <row r="68" spans="3:12" ht="18.600000000000001" customHeight="1" thickBot="1" x14ac:dyDescent="0.3">
      <c r="C68" s="76"/>
      <c r="D68" s="82" t="s">
        <v>29</v>
      </c>
      <c r="E68" s="77">
        <f>E67</f>
        <v>144</v>
      </c>
      <c r="F68" s="78">
        <f>E68/H68-1</f>
        <v>-9.4339622641509413E-2</v>
      </c>
      <c r="G68" s="79">
        <f>E68/I68-1</f>
        <v>-2.0408163265306145E-2</v>
      </c>
      <c r="H68" s="133">
        <f>H67</f>
        <v>159</v>
      </c>
      <c r="I68" s="81">
        <f>I67</f>
        <v>147</v>
      </c>
      <c r="J68" s="77">
        <f>J67</f>
        <v>1344</v>
      </c>
      <c r="K68" s="79">
        <f>J68/L68-1</f>
        <v>-0.23592950540079594</v>
      </c>
      <c r="L68" s="134">
        <f>L67</f>
        <v>1759</v>
      </c>
    </row>
    <row r="69" spans="3:12" ht="6.75" customHeight="1" thickBot="1" x14ac:dyDescent="0.3">
      <c r="C69" s="58"/>
      <c r="D69" s="152"/>
      <c r="E69" s="64"/>
      <c r="F69" s="65"/>
      <c r="G69" s="65"/>
      <c r="H69" s="66"/>
      <c r="I69" s="66"/>
      <c r="J69" s="64"/>
      <c r="K69" s="65"/>
      <c r="L69" s="66"/>
    </row>
    <row r="70" spans="3:12" ht="18.600000000000001" customHeight="1" x14ac:dyDescent="0.25">
      <c r="C70" s="349" t="s">
        <v>65</v>
      </c>
      <c r="D70" s="350"/>
      <c r="E70" s="67">
        <f>E20</f>
        <v>4055</v>
      </c>
      <c r="F70" s="68">
        <f>E70/H70-1</f>
        <v>-0.26685951907430849</v>
      </c>
      <c r="G70" s="69">
        <f>E70/I70-1</f>
        <v>-0.36798628428927682</v>
      </c>
      <c r="H70" s="136">
        <f>H20</f>
        <v>5531</v>
      </c>
      <c r="I70" s="71">
        <f>I20</f>
        <v>6416</v>
      </c>
      <c r="J70" s="67">
        <f>J20</f>
        <v>59743</v>
      </c>
      <c r="K70" s="69">
        <f>J70/L70-1</f>
        <v>-3.0051628405364128E-2</v>
      </c>
      <c r="L70" s="138">
        <f>L20</f>
        <v>61594</v>
      </c>
    </row>
    <row r="71" spans="3:12" ht="18.600000000000001" customHeight="1" thickBot="1" x14ac:dyDescent="0.3">
      <c r="C71" s="76"/>
      <c r="D71" s="82" t="s">
        <v>66</v>
      </c>
      <c r="E71" s="77">
        <f>HLOOKUP(E5,국내2!C4:P66,51,0)</f>
        <v>1389</v>
      </c>
      <c r="F71" s="78">
        <f>E71/H71-1</f>
        <v>-0.36371965185524513</v>
      </c>
      <c r="G71" s="79">
        <f>E71/I71-1</f>
        <v>-0.34910965323336463</v>
      </c>
      <c r="H71" s="133">
        <f>HLOOKUP(H5,국내2!C70:P129,48,0)</f>
        <v>2183</v>
      </c>
      <c r="I71" s="81">
        <f>HLOOKUP(I5,국내2!C4:P66,51,0)</f>
        <v>2134</v>
      </c>
      <c r="J71" s="77">
        <f>국내2!P54</f>
        <v>22905</v>
      </c>
      <c r="K71" s="79">
        <f>J71/L71-1</f>
        <v>-0.12419225327878258</v>
      </c>
      <c r="L71" s="134">
        <f>SUM(국내2!D117:M117)</f>
        <v>26153</v>
      </c>
    </row>
    <row r="72" spans="3:12" ht="6.75" customHeight="1" thickBot="1" x14ac:dyDescent="0.3">
      <c r="C72" s="58"/>
      <c r="D72" s="152"/>
      <c r="E72" s="64"/>
      <c r="F72" s="65"/>
      <c r="G72" s="65"/>
      <c r="H72" s="66"/>
      <c r="I72" s="66"/>
      <c r="J72" s="64"/>
      <c r="K72" s="65"/>
      <c r="L72" s="66"/>
    </row>
    <row r="73" spans="3:12" ht="18.600000000000001" customHeight="1" x14ac:dyDescent="0.25">
      <c r="C73" s="349" t="s">
        <v>67</v>
      </c>
      <c r="D73" s="350"/>
      <c r="E73" s="67">
        <f>E21</f>
        <v>6788</v>
      </c>
      <c r="F73" s="68">
        <f>E73/H73-1</f>
        <v>-0.14745038934940968</v>
      </c>
      <c r="G73" s="69">
        <f>E73/I73-1</f>
        <v>-0.24392960570282918</v>
      </c>
      <c r="H73" s="136">
        <f>H21</f>
        <v>7962</v>
      </c>
      <c r="I73" s="71">
        <f>I21</f>
        <v>8978</v>
      </c>
      <c r="J73" s="67">
        <f>J21</f>
        <v>80479</v>
      </c>
      <c r="K73" s="69">
        <f>J73/L73-1</f>
        <v>6.9118975503480451E-2</v>
      </c>
      <c r="L73" s="138">
        <f>L21</f>
        <v>75276</v>
      </c>
    </row>
    <row r="74" spans="3:12" ht="18.600000000000001" customHeight="1" thickBot="1" x14ac:dyDescent="0.3">
      <c r="C74" s="76"/>
      <c r="D74" s="82" t="s">
        <v>68</v>
      </c>
      <c r="E74" s="77">
        <f>HLOOKUP(E5,국내2!C4:P66,55,0)</f>
        <v>4128</v>
      </c>
      <c r="F74" s="78">
        <f>E74/H74-1</f>
        <v>-0.26704545454545459</v>
      </c>
      <c r="G74" s="79">
        <f>E74/I74-1</f>
        <v>-0.30575176589303732</v>
      </c>
      <c r="H74" s="133">
        <f>HLOOKUP(H5,국내2!C70:P129,52,0)</f>
        <v>5632</v>
      </c>
      <c r="I74" s="81">
        <f>HLOOKUP(I5,국내2!C4:P66,55,0)</f>
        <v>5946</v>
      </c>
      <c r="J74" s="77">
        <f>국내2!P58</f>
        <v>57257</v>
      </c>
      <c r="K74" s="79">
        <f>J74/L74-1</f>
        <v>6.2538274537458083E-2</v>
      </c>
      <c r="L74" s="134">
        <f>SUM(국내2!D121:M121)</f>
        <v>53887</v>
      </c>
    </row>
    <row r="75" spans="3:12" ht="6.6" customHeight="1" thickBot="1" x14ac:dyDescent="0.3">
      <c r="C75" s="58"/>
      <c r="D75" s="152"/>
      <c r="E75" s="64"/>
      <c r="F75" s="65"/>
      <c r="G75" s="65"/>
      <c r="H75" s="66"/>
      <c r="I75" s="66"/>
      <c r="J75" s="64"/>
      <c r="K75" s="65"/>
      <c r="L75" s="66"/>
    </row>
    <row r="76" spans="3:12" ht="18.600000000000001" customHeight="1" x14ac:dyDescent="0.25">
      <c r="C76" s="349" t="s">
        <v>69</v>
      </c>
      <c r="D76" s="350"/>
      <c r="E76" s="67">
        <f>E23</f>
        <v>4515</v>
      </c>
      <c r="F76" s="68">
        <f>E76/H76-1</f>
        <v>-0.20017714791851193</v>
      </c>
      <c r="G76" s="69">
        <f>E76/I76-1</f>
        <v>-0.33190292986090564</v>
      </c>
      <c r="H76" s="136">
        <f>H23</f>
        <v>5645</v>
      </c>
      <c r="I76" s="71">
        <f>I23</f>
        <v>6758</v>
      </c>
      <c r="J76" s="67">
        <f>J23</f>
        <v>66984</v>
      </c>
      <c r="K76" s="69">
        <f>J76/L76-1</f>
        <v>-1.4897716075709222E-2</v>
      </c>
      <c r="L76" s="138">
        <f>L23</f>
        <v>67997</v>
      </c>
    </row>
    <row r="77" spans="3:12" ht="18.600000000000001" customHeight="1" thickBot="1" x14ac:dyDescent="0.3">
      <c r="C77" s="76"/>
      <c r="D77" s="82" t="s">
        <v>70</v>
      </c>
      <c r="E77" s="77">
        <f>HLOOKUP(E5,국내2!C4:P66,59,0)</f>
        <v>2384</v>
      </c>
      <c r="F77" s="78">
        <f>E77/H77-1</f>
        <v>6.2862238074008037E-2</v>
      </c>
      <c r="G77" s="79">
        <f>E77/I77-1</f>
        <v>-0.48106225511536782</v>
      </c>
      <c r="H77" s="133">
        <f>HLOOKUP(H5,국내2!C70:P129,56,0)</f>
        <v>2243</v>
      </c>
      <c r="I77" s="81">
        <f>HLOOKUP(I5,국내2!C4:P66,59,0)</f>
        <v>4594</v>
      </c>
      <c r="J77" s="77">
        <f>국내2!P62</f>
        <v>38329</v>
      </c>
      <c r="K77" s="79">
        <f>J77/L77-1</f>
        <v>0.19171097223517708</v>
      </c>
      <c r="L77" s="134">
        <f>SUM(국내2!D125:M125)</f>
        <v>32163</v>
      </c>
    </row>
    <row r="78" spans="3:12" ht="6.75" customHeight="1" thickBot="1" x14ac:dyDescent="0.3"/>
    <row r="79" spans="3:12" ht="18.600000000000001" customHeight="1" x14ac:dyDescent="0.25">
      <c r="C79" s="349" t="s">
        <v>71</v>
      </c>
      <c r="D79" s="350"/>
      <c r="E79" s="67">
        <f>E26</f>
        <v>1814</v>
      </c>
      <c r="F79" s="68" t="e">
        <f>E79/H79-1</f>
        <v>#DIV/0!</v>
      </c>
      <c r="G79" s="69">
        <f>E79/I79-1</f>
        <v>1.6994047619047619</v>
      </c>
      <c r="H79" s="136">
        <v>0</v>
      </c>
      <c r="I79" s="71">
        <f>I26</f>
        <v>672</v>
      </c>
      <c r="J79" s="67">
        <f>J26</f>
        <v>2647</v>
      </c>
      <c r="K79" s="69" t="e">
        <f>J79/L79-1</f>
        <v>#DIV/0!</v>
      </c>
      <c r="L79" s="138">
        <v>0</v>
      </c>
    </row>
    <row r="80" spans="3:12" ht="18.600000000000001" customHeight="1" thickBot="1" x14ac:dyDescent="0.3">
      <c r="C80" s="76"/>
      <c r="D80" s="82" t="s">
        <v>37</v>
      </c>
      <c r="E80" s="77">
        <f>E79</f>
        <v>1814</v>
      </c>
      <c r="F80" s="78" t="e">
        <f>E80/H80-1</f>
        <v>#DIV/0!</v>
      </c>
      <c r="G80" s="79">
        <f>E80/I80-1</f>
        <v>1.6994047619047619</v>
      </c>
      <c r="H80" s="133">
        <v>0</v>
      </c>
      <c r="I80" s="81">
        <f>I79</f>
        <v>672</v>
      </c>
      <c r="J80" s="77">
        <f>J79</f>
        <v>2647</v>
      </c>
      <c r="K80" s="79" t="e">
        <f>J80/L80-1</f>
        <v>#DIV/0!</v>
      </c>
      <c r="L80" s="134">
        <v>0</v>
      </c>
    </row>
    <row r="81" spans="3:14" ht="6.75" customHeight="1" thickBot="1" x14ac:dyDescent="0.3"/>
    <row r="82" spans="3:14" ht="18.600000000000001" customHeight="1" x14ac:dyDescent="0.25">
      <c r="C82" s="349" t="s">
        <v>72</v>
      </c>
      <c r="D82" s="350"/>
      <c r="E82" s="67">
        <f>E27</f>
        <v>2847</v>
      </c>
      <c r="F82" s="68">
        <f>E82/H82-1</f>
        <v>-0.1055607917059378</v>
      </c>
      <c r="G82" s="69">
        <f>E82/I82-1</f>
        <v>-0.11802973977695164</v>
      </c>
      <c r="H82" s="136">
        <f>H27</f>
        <v>3183</v>
      </c>
      <c r="I82" s="71">
        <f>I27</f>
        <v>3228</v>
      </c>
      <c r="J82" s="67">
        <f>J27</f>
        <v>30644</v>
      </c>
      <c r="K82" s="69">
        <f>J82/L82-1</f>
        <v>-0.12340522913210139</v>
      </c>
      <c r="L82" s="138">
        <f>L27</f>
        <v>34958</v>
      </c>
    </row>
    <row r="83" spans="3:14" ht="18.600000000000001" customHeight="1" thickBot="1" x14ac:dyDescent="0.3">
      <c r="C83" s="76"/>
      <c r="D83" s="82" t="s">
        <v>73</v>
      </c>
      <c r="E83" s="77">
        <f>HLOOKUP(E5,국내2!C4:P66,63,0)</f>
        <v>333</v>
      </c>
      <c r="F83" s="78">
        <f>E83/H83-1</f>
        <v>-0.45765472312703581</v>
      </c>
      <c r="G83" s="79">
        <f>E83/I83-1</f>
        <v>-0.33399999999999996</v>
      </c>
      <c r="H83" s="133">
        <f>HLOOKUP(H5,국내2!C70:P129,60,0)</f>
        <v>614</v>
      </c>
      <c r="I83" s="81">
        <f>HLOOKUP(I5,국내2!C4:P66,63,0)</f>
        <v>500</v>
      </c>
      <c r="J83" s="77">
        <f>국내2!P66</f>
        <v>4754</v>
      </c>
      <c r="K83" s="79">
        <f>J83/L83-1</f>
        <v>-1.6956162117452434E-2</v>
      </c>
      <c r="L83" s="134">
        <f>SUM(국내2!D129:M129)</f>
        <v>4836</v>
      </c>
      <c r="N83" s="13"/>
    </row>
    <row r="84" spans="3:14" ht="9.75" customHeight="1" thickBot="1" x14ac:dyDescent="0.3"/>
    <row r="85" spans="3:14" ht="18.600000000000001" customHeight="1" x14ac:dyDescent="0.25">
      <c r="C85" s="354" t="s">
        <v>74</v>
      </c>
      <c r="D85" s="355"/>
      <c r="E85" s="315">
        <f>E46+E49+E51+E83+E74+E71+E64+E67+E43+E77+E55+E58+E80+E61</f>
        <v>17925</v>
      </c>
      <c r="F85" s="316">
        <f>E85/H85-1</f>
        <v>-4.24167957690047E-2</v>
      </c>
      <c r="G85" s="317">
        <f>E85/I85-1</f>
        <v>-0.20552256005673253</v>
      </c>
      <c r="H85" s="318">
        <f>H46+H49+H51+H83+H74+H71+H64+H67+H43+H55+H77</f>
        <v>18719</v>
      </c>
      <c r="I85" s="319">
        <f>I46+I58+I49+I51+I83+I74+I71+I64+I67+I43+I77+I55+I80</f>
        <v>22562</v>
      </c>
      <c r="J85" s="315">
        <f>J46+J49+J51+J83+J74+J71+J64+J67+J43+J77+J55+J58+J80+J61</f>
        <v>206155</v>
      </c>
      <c r="K85" s="317">
        <f>J85/L85-1</f>
        <v>0.13788402309382142</v>
      </c>
      <c r="L85" s="320">
        <f>L46+L49+L51+L83+L74+L71+L64+L67+L43+L77+L55+L58</f>
        <v>181174</v>
      </c>
    </row>
    <row r="86" spans="3:14" ht="18.600000000000001" customHeight="1" x14ac:dyDescent="0.25">
      <c r="C86" s="321"/>
      <c r="D86" s="308" t="s">
        <v>75</v>
      </c>
      <c r="E86" s="309">
        <f>E85-E87</f>
        <v>10863</v>
      </c>
      <c r="F86" s="310">
        <f>E86/H86-1</f>
        <v>-0.27676431424766978</v>
      </c>
      <c r="G86" s="310">
        <f>E86/I86-1</f>
        <v>-0.29947765525246661</v>
      </c>
      <c r="H86" s="311">
        <f>H85-H87</f>
        <v>15020</v>
      </c>
      <c r="I86" s="312">
        <f>I85-I87</f>
        <v>15507</v>
      </c>
      <c r="J86" s="309">
        <f>J85-J87</f>
        <v>149921</v>
      </c>
      <c r="K86" s="313">
        <f>J86/L86-1</f>
        <v>3.0200788862471351E-2</v>
      </c>
      <c r="L86" s="314">
        <f>L85-L87</f>
        <v>145526</v>
      </c>
    </row>
    <row r="87" spans="3:14" ht="18.600000000000001" customHeight="1" thickBot="1" x14ac:dyDescent="0.3">
      <c r="C87" s="322"/>
      <c r="D87" s="82" t="s">
        <v>76</v>
      </c>
      <c r="E87" s="77">
        <f>E83+E68+E65+E56+E53+E43+E59+E80+E62</f>
        <v>7062</v>
      </c>
      <c r="F87" s="78">
        <f>E87/H87-1</f>
        <v>0.90916463909164635</v>
      </c>
      <c r="G87" s="79">
        <f>E87/I87-1</f>
        <v>9.9220411055989111E-4</v>
      </c>
      <c r="H87" s="133">
        <f>H83+H68+H65+H56+H53+H43+H59+H62</f>
        <v>3699</v>
      </c>
      <c r="I87" s="141">
        <f>I83+I68+I65+I56+I53+I43+I59+I80+I62</f>
        <v>7055</v>
      </c>
      <c r="J87" s="77">
        <f>J83+J68+J65+J56+J53+J43+J59+J80+J62</f>
        <v>56234</v>
      </c>
      <c r="K87" s="79">
        <f>J87/L87-1</f>
        <v>0.57747980251346509</v>
      </c>
      <c r="L87" s="134">
        <f>L83+L68+L65+L56+L53+L43+L59+L62+L80</f>
        <v>35648</v>
      </c>
      <c r="N87" s="5" t="s">
        <v>58</v>
      </c>
    </row>
  </sheetData>
  <mergeCells count="25">
    <mergeCell ref="C85:D85"/>
    <mergeCell ref="N2:S2"/>
    <mergeCell ref="A4:D5"/>
    <mergeCell ref="A38:D38"/>
    <mergeCell ref="A37:D37"/>
    <mergeCell ref="C6:C13"/>
    <mergeCell ref="C14:C25"/>
    <mergeCell ref="A34:D34"/>
    <mergeCell ref="C26:C29"/>
    <mergeCell ref="C42:D42"/>
    <mergeCell ref="C55:D55"/>
    <mergeCell ref="C58:D58"/>
    <mergeCell ref="C79:D79"/>
    <mergeCell ref="A1:K1"/>
    <mergeCell ref="C82:D82"/>
    <mergeCell ref="C73:D73"/>
    <mergeCell ref="C70:D70"/>
    <mergeCell ref="C64:D64"/>
    <mergeCell ref="C45:D45"/>
    <mergeCell ref="C48:D48"/>
    <mergeCell ref="C51:D51"/>
    <mergeCell ref="C67:D67"/>
    <mergeCell ref="C76:D76"/>
    <mergeCell ref="B30:D30"/>
    <mergeCell ref="C61:D61"/>
  </mergeCells>
  <phoneticPr fontId="2" type="noConversion"/>
  <printOptions horizontalCentered="1" verticalCentered="1"/>
  <pageMargins left="0.47244094488188981" right="0.27559055118110237" top="0.47244094488188981" bottom="0.59055118110236227" header="0.39370078740157483" footer="0.51181102362204722"/>
  <pageSetup paperSize="9" scale="52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13 K25 I38 H13:I13 H25 H29:I29 E13 K29:K30 K42 K64:K76 K44:K53 K32:K37 K85:K87 K57" formula="1"/>
    <ignoredError sqref="G53 F31:G31 K81 K83 F77 F43 G8 F17:F18 F64:F68 F55:F56 G22 K12" evalError="1"/>
    <ignoredError sqref="L47:L48 L72:L73 L50 L75:L76" formulaRange="1"/>
    <ignoredError sqref="K77 K82 K43 K31" evalError="1" formula="1"/>
    <ignoredError sqref="L81" evalError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7"/>
    <pageSetUpPr fitToPage="1"/>
  </sheetPr>
  <dimension ref="A1:R131"/>
  <sheetViews>
    <sheetView showGridLines="0" view="pageBreakPreview" topLeftCell="A28" zoomScale="130" zoomScaleNormal="145" zoomScaleSheetLayoutView="130" workbookViewId="0">
      <pane xSplit="3" topLeftCell="M1" activePane="topRight" state="frozen"/>
      <selection activeCell="O49" sqref="O49"/>
      <selection pane="topRight" activeCell="M66" sqref="M66"/>
    </sheetView>
  </sheetViews>
  <sheetFormatPr defaultRowHeight="14.4" x14ac:dyDescent="0.25"/>
  <cols>
    <col min="1" max="1" width="0.59765625" style="17" customWidth="1"/>
    <col min="2" max="2" width="2.3984375" style="17" customWidth="1"/>
    <col min="3" max="3" width="8.796875" style="17" bestFit="1" customWidth="1"/>
    <col min="4" max="15" width="6.796875" style="16" customWidth="1"/>
    <col min="16" max="16" width="7.796875" style="17" customWidth="1"/>
    <col min="17" max="17" width="7.8984375" customWidth="1"/>
  </cols>
  <sheetData>
    <row r="1" spans="2:18" s="14" customFormat="1" ht="13.2" x14ac:dyDescent="0.25">
      <c r="B1" s="14" t="s">
        <v>77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8" s="14" customFormat="1" ht="13.2" x14ac:dyDescent="0.25"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8" s="14" customFormat="1" ht="15" customHeight="1" thickBot="1" x14ac:dyDescent="0.3">
      <c r="B3" s="83" t="s">
        <v>78</v>
      </c>
      <c r="C3" s="83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5"/>
    </row>
    <row r="4" spans="2:18" s="14" customFormat="1" ht="15" customHeight="1" thickBot="1" x14ac:dyDescent="0.3">
      <c r="B4" s="111"/>
      <c r="C4" s="112" t="s">
        <v>79</v>
      </c>
      <c r="D4" s="113">
        <v>1</v>
      </c>
      <c r="E4" s="114">
        <v>2</v>
      </c>
      <c r="F4" s="114">
        <v>3</v>
      </c>
      <c r="G4" s="114">
        <v>4</v>
      </c>
      <c r="H4" s="114">
        <v>5</v>
      </c>
      <c r="I4" s="114">
        <v>6</v>
      </c>
      <c r="J4" s="114">
        <v>7</v>
      </c>
      <c r="K4" s="114">
        <v>8</v>
      </c>
      <c r="L4" s="114">
        <v>9</v>
      </c>
      <c r="M4" s="114">
        <v>10</v>
      </c>
      <c r="N4" s="114">
        <v>11</v>
      </c>
      <c r="O4" s="114">
        <v>12</v>
      </c>
      <c r="P4" s="115" t="s">
        <v>9</v>
      </c>
    </row>
    <row r="5" spans="2:18" s="14" customFormat="1" ht="15" customHeight="1" x14ac:dyDescent="0.25">
      <c r="B5" s="379" t="s">
        <v>24</v>
      </c>
      <c r="C5" s="181" t="s">
        <v>17</v>
      </c>
      <c r="D5" s="116">
        <v>1484</v>
      </c>
      <c r="E5" s="117">
        <v>765</v>
      </c>
      <c r="F5" s="116">
        <v>579</v>
      </c>
      <c r="G5" s="117">
        <v>1028</v>
      </c>
      <c r="H5" s="117">
        <v>1527</v>
      </c>
      <c r="I5" s="117">
        <v>1204</v>
      </c>
      <c r="J5" s="117">
        <v>838</v>
      </c>
      <c r="K5" s="117">
        <v>2080</v>
      </c>
      <c r="L5" s="117">
        <v>1805</v>
      </c>
      <c r="M5" s="117">
        <v>2062</v>
      </c>
      <c r="N5" s="117"/>
      <c r="O5" s="117"/>
      <c r="P5" s="118">
        <f t="shared" ref="P5:P11" si="0">SUM(D5:O5)</f>
        <v>13372</v>
      </c>
    </row>
    <row r="6" spans="2:18" s="14" customFormat="1" ht="15" customHeight="1" x14ac:dyDescent="0.25">
      <c r="B6" s="380"/>
      <c r="C6" s="181" t="s">
        <v>18</v>
      </c>
      <c r="D6" s="116">
        <v>3876</v>
      </c>
      <c r="E6" s="117">
        <v>4287</v>
      </c>
      <c r="F6" s="116">
        <v>4584</v>
      </c>
      <c r="G6" s="117">
        <v>4262</v>
      </c>
      <c r="H6" s="117">
        <v>4000</v>
      </c>
      <c r="I6" s="117">
        <v>4260</v>
      </c>
      <c r="J6" s="117">
        <v>3769</v>
      </c>
      <c r="K6" s="117">
        <v>3484</v>
      </c>
      <c r="L6" s="117">
        <v>4003</v>
      </c>
      <c r="M6" s="117">
        <v>3382</v>
      </c>
      <c r="N6" s="117"/>
      <c r="O6" s="117"/>
      <c r="P6" s="118">
        <f t="shared" si="0"/>
        <v>39907</v>
      </c>
      <c r="R6" s="153"/>
    </row>
    <row r="7" spans="2:18" s="14" customFormat="1" ht="15" hidden="1" customHeight="1" x14ac:dyDescent="0.25">
      <c r="B7" s="380"/>
      <c r="C7" s="181" t="s">
        <v>19</v>
      </c>
      <c r="D7" s="116"/>
      <c r="E7" s="117"/>
      <c r="F7" s="116"/>
      <c r="G7" s="117"/>
      <c r="H7" s="117"/>
      <c r="I7" s="117"/>
      <c r="J7" s="117"/>
      <c r="K7" s="117"/>
      <c r="L7" s="117"/>
      <c r="M7" s="117"/>
      <c r="N7" s="117"/>
      <c r="O7" s="117"/>
      <c r="P7" s="118">
        <f t="shared" si="0"/>
        <v>0</v>
      </c>
      <c r="R7" s="153"/>
    </row>
    <row r="8" spans="2:18" s="14" customFormat="1" ht="15" customHeight="1" x14ac:dyDescent="0.25">
      <c r="B8" s="380"/>
      <c r="C8" s="181" t="s">
        <v>20</v>
      </c>
      <c r="D8" s="116">
        <v>0</v>
      </c>
      <c r="E8" s="117">
        <v>0</v>
      </c>
      <c r="F8" s="116">
        <v>0</v>
      </c>
      <c r="G8" s="117">
        <v>831</v>
      </c>
      <c r="H8" s="117">
        <v>1373</v>
      </c>
      <c r="I8" s="117">
        <v>1073</v>
      </c>
      <c r="J8" s="117">
        <v>1485</v>
      </c>
      <c r="K8" s="117">
        <v>1124</v>
      </c>
      <c r="L8" s="117">
        <v>1151</v>
      </c>
      <c r="M8" s="117">
        <v>654</v>
      </c>
      <c r="N8" s="117"/>
      <c r="O8" s="117"/>
      <c r="P8" s="121">
        <f>SUM(D8:O8)</f>
        <v>7691</v>
      </c>
    </row>
    <row r="9" spans="2:18" s="14" customFormat="1" ht="15" customHeight="1" x14ac:dyDescent="0.25">
      <c r="B9" s="380"/>
      <c r="C9" s="181" t="s">
        <v>21</v>
      </c>
      <c r="D9" s="116">
        <v>2583</v>
      </c>
      <c r="E9" s="117">
        <v>2503</v>
      </c>
      <c r="F9" s="116">
        <v>2863</v>
      </c>
      <c r="G9" s="117">
        <v>3581</v>
      </c>
      <c r="H9" s="117">
        <v>3028</v>
      </c>
      <c r="I9" s="117">
        <v>2873</v>
      </c>
      <c r="J9" s="117">
        <v>2868</v>
      </c>
      <c r="K9" s="117">
        <v>3238</v>
      </c>
      <c r="L9" s="117">
        <v>3127</v>
      </c>
      <c r="M9" s="117">
        <v>3045</v>
      </c>
      <c r="N9" s="117"/>
      <c r="O9" s="117"/>
      <c r="P9" s="118">
        <f t="shared" si="0"/>
        <v>29709</v>
      </c>
      <c r="R9" s="153"/>
    </row>
    <row r="10" spans="2:18" s="14" customFormat="1" ht="15" customHeight="1" x14ac:dyDescent="0.25">
      <c r="B10" s="380"/>
      <c r="C10" s="181" t="s">
        <v>22</v>
      </c>
      <c r="D10" s="116">
        <v>2297</v>
      </c>
      <c r="E10" s="117">
        <v>2457</v>
      </c>
      <c r="F10" s="116">
        <v>2704</v>
      </c>
      <c r="G10" s="117">
        <v>2566</v>
      </c>
      <c r="H10" s="117">
        <v>2627</v>
      </c>
      <c r="I10" s="117">
        <v>2423</v>
      </c>
      <c r="J10" s="117">
        <v>2090</v>
      </c>
      <c r="K10" s="117">
        <v>1976</v>
      </c>
      <c r="L10" s="117">
        <v>2159</v>
      </c>
      <c r="M10" s="117">
        <v>2129</v>
      </c>
      <c r="N10" s="117"/>
      <c r="O10" s="117"/>
      <c r="P10" s="118">
        <f t="shared" si="0"/>
        <v>23428</v>
      </c>
      <c r="R10" s="153"/>
    </row>
    <row r="11" spans="2:18" s="14" customFormat="1" ht="15" customHeight="1" x14ac:dyDescent="0.25">
      <c r="B11" s="380"/>
      <c r="C11" s="181" t="s">
        <v>23</v>
      </c>
      <c r="D11" s="119">
        <v>123</v>
      </c>
      <c r="E11" s="120">
        <v>164</v>
      </c>
      <c r="F11" s="116">
        <v>226</v>
      </c>
      <c r="G11" s="120">
        <v>147</v>
      </c>
      <c r="H11" s="120">
        <v>109</v>
      </c>
      <c r="I11" s="120">
        <v>92</v>
      </c>
      <c r="J11" s="120">
        <v>113</v>
      </c>
      <c r="K11" s="120">
        <v>143</v>
      </c>
      <c r="L11" s="120">
        <v>109</v>
      </c>
      <c r="M11" s="120">
        <v>47</v>
      </c>
      <c r="N11" s="120"/>
      <c r="O11" s="120"/>
      <c r="P11" s="118">
        <f t="shared" si="0"/>
        <v>1273</v>
      </c>
      <c r="R11" s="153"/>
    </row>
    <row r="12" spans="2:18" s="14" customFormat="1" ht="15" customHeight="1" x14ac:dyDescent="0.25">
      <c r="B12" s="381"/>
      <c r="C12" s="180" t="s">
        <v>9</v>
      </c>
      <c r="D12" s="293">
        <f t="shared" ref="D12:O12" si="1">SUM(D5:D11)</f>
        <v>10363</v>
      </c>
      <c r="E12" s="293">
        <f t="shared" si="1"/>
        <v>10176</v>
      </c>
      <c r="F12" s="293">
        <f t="shared" si="1"/>
        <v>10956</v>
      </c>
      <c r="G12" s="293">
        <f t="shared" si="1"/>
        <v>12415</v>
      </c>
      <c r="H12" s="293">
        <f t="shared" si="1"/>
        <v>12664</v>
      </c>
      <c r="I12" s="293">
        <f t="shared" si="1"/>
        <v>11925</v>
      </c>
      <c r="J12" s="293">
        <f t="shared" si="1"/>
        <v>11163</v>
      </c>
      <c r="K12" s="293">
        <f t="shared" si="1"/>
        <v>12045</v>
      </c>
      <c r="L12" s="293">
        <f t="shared" si="1"/>
        <v>12354</v>
      </c>
      <c r="M12" s="293">
        <f t="shared" si="1"/>
        <v>11319</v>
      </c>
      <c r="N12" s="293">
        <f t="shared" si="1"/>
        <v>0</v>
      </c>
      <c r="O12" s="293">
        <f t="shared" si="1"/>
        <v>0</v>
      </c>
      <c r="P12" s="294">
        <f>SUM(P5:P11)</f>
        <v>115380</v>
      </c>
    </row>
    <row r="13" spans="2:18" s="14" customFormat="1" ht="15" customHeight="1" x14ac:dyDescent="0.25">
      <c r="B13" s="382" t="s">
        <v>36</v>
      </c>
      <c r="C13" s="181" t="s">
        <v>25</v>
      </c>
      <c r="D13" s="116">
        <v>571</v>
      </c>
      <c r="E13" s="117">
        <v>854</v>
      </c>
      <c r="F13" s="116">
        <v>1176</v>
      </c>
      <c r="G13" s="117">
        <v>1716</v>
      </c>
      <c r="H13" s="117">
        <v>1310</v>
      </c>
      <c r="I13" s="117">
        <v>1007</v>
      </c>
      <c r="J13" s="117">
        <v>1035</v>
      </c>
      <c r="K13" s="117">
        <v>1062</v>
      </c>
      <c r="L13" s="117">
        <v>1048</v>
      </c>
      <c r="M13" s="117">
        <v>1128</v>
      </c>
      <c r="N13" s="117"/>
      <c r="O13" s="117"/>
      <c r="P13" s="121">
        <f t="shared" ref="P13:P23" si="2">SUM(D13:O13)</f>
        <v>10907</v>
      </c>
    </row>
    <row r="14" spans="2:18" s="14" customFormat="1" ht="15" customHeight="1" x14ac:dyDescent="0.25">
      <c r="B14" s="383"/>
      <c r="C14" s="181" t="s">
        <v>26</v>
      </c>
      <c r="D14" s="116">
        <v>429</v>
      </c>
      <c r="E14" s="117">
        <v>2257</v>
      </c>
      <c r="F14" s="116">
        <v>3032</v>
      </c>
      <c r="G14" s="117">
        <v>3057</v>
      </c>
      <c r="H14" s="117">
        <v>1866</v>
      </c>
      <c r="I14" s="117">
        <v>1884</v>
      </c>
      <c r="J14" s="117">
        <v>2199</v>
      </c>
      <c r="K14" s="117">
        <v>2317</v>
      </c>
      <c r="L14" s="117">
        <v>1927</v>
      </c>
      <c r="M14" s="117">
        <v>1423</v>
      </c>
      <c r="N14" s="117"/>
      <c r="O14" s="117"/>
      <c r="P14" s="121">
        <f t="shared" si="2"/>
        <v>20391</v>
      </c>
    </row>
    <row r="15" spans="2:18" s="14" customFormat="1" ht="15" customHeight="1" x14ac:dyDescent="0.25">
      <c r="B15" s="383"/>
      <c r="C15" s="181" t="s">
        <v>27</v>
      </c>
      <c r="D15" s="116"/>
      <c r="E15" s="117"/>
      <c r="F15" s="116"/>
      <c r="G15" s="117"/>
      <c r="H15" s="117"/>
      <c r="I15" s="117"/>
      <c r="J15" s="117"/>
      <c r="K15" s="117"/>
      <c r="L15" s="117">
        <v>272</v>
      </c>
      <c r="M15" s="117">
        <v>1150</v>
      </c>
      <c r="N15" s="117"/>
      <c r="O15" s="117"/>
      <c r="P15" s="121">
        <f t="shared" si="2"/>
        <v>1422</v>
      </c>
    </row>
    <row r="16" spans="2:18" s="14" customFormat="1" ht="15" customHeight="1" x14ac:dyDescent="0.25">
      <c r="B16" s="383"/>
      <c r="C16" s="181" t="s">
        <v>28</v>
      </c>
      <c r="D16" s="116">
        <v>72</v>
      </c>
      <c r="E16" s="117">
        <v>1100</v>
      </c>
      <c r="F16" s="116">
        <v>1163</v>
      </c>
      <c r="G16" s="117">
        <v>789</v>
      </c>
      <c r="H16" s="117">
        <v>957</v>
      </c>
      <c r="I16" s="117">
        <v>727</v>
      </c>
      <c r="J16" s="117">
        <v>936</v>
      </c>
      <c r="K16" s="117">
        <v>1080</v>
      </c>
      <c r="L16" s="117">
        <v>1322</v>
      </c>
      <c r="M16" s="117">
        <v>747</v>
      </c>
      <c r="N16" s="117"/>
      <c r="O16" s="117"/>
      <c r="P16" s="121">
        <f t="shared" si="2"/>
        <v>8893</v>
      </c>
      <c r="R16" s="153"/>
    </row>
    <row r="17" spans="2:16" s="14" customFormat="1" ht="15" customHeight="1" x14ac:dyDescent="0.25">
      <c r="B17" s="383"/>
      <c r="C17" s="181" t="s">
        <v>29</v>
      </c>
      <c r="D17" s="116">
        <v>37</v>
      </c>
      <c r="E17" s="117">
        <v>88</v>
      </c>
      <c r="F17" s="116">
        <v>202</v>
      </c>
      <c r="G17" s="117">
        <v>150</v>
      </c>
      <c r="H17" s="117">
        <v>178</v>
      </c>
      <c r="I17" s="117">
        <v>113</v>
      </c>
      <c r="J17" s="117">
        <v>173</v>
      </c>
      <c r="K17" s="117">
        <v>112</v>
      </c>
      <c r="L17" s="117">
        <v>147</v>
      </c>
      <c r="M17" s="117">
        <v>144</v>
      </c>
      <c r="N17" s="117"/>
      <c r="O17" s="117"/>
      <c r="P17" s="121">
        <f t="shared" si="2"/>
        <v>1344</v>
      </c>
    </row>
    <row r="18" spans="2:16" s="14" customFormat="1" ht="15" customHeight="1" x14ac:dyDescent="0.25">
      <c r="B18" s="383"/>
      <c r="C18" s="181" t="s">
        <v>30</v>
      </c>
      <c r="D18" s="116">
        <v>4342</v>
      </c>
      <c r="E18" s="117">
        <v>4764</v>
      </c>
      <c r="F18" s="116">
        <v>5351</v>
      </c>
      <c r="G18" s="117">
        <v>5101</v>
      </c>
      <c r="H18" s="117">
        <v>4257</v>
      </c>
      <c r="I18" s="117">
        <v>5100</v>
      </c>
      <c r="J18" s="117">
        <v>4921</v>
      </c>
      <c r="K18" s="117">
        <v>4238</v>
      </c>
      <c r="L18" s="117">
        <v>4965</v>
      </c>
      <c r="M18" s="117">
        <v>3365</v>
      </c>
      <c r="N18" s="117"/>
      <c r="O18" s="117"/>
      <c r="P18" s="121">
        <f t="shared" si="2"/>
        <v>46404</v>
      </c>
    </row>
    <row r="19" spans="2:16" s="14" customFormat="1" ht="15" customHeight="1" x14ac:dyDescent="0.25">
      <c r="B19" s="383"/>
      <c r="C19" s="181" t="s">
        <v>31</v>
      </c>
      <c r="D19" s="116">
        <v>6547</v>
      </c>
      <c r="E19" s="117">
        <v>6568</v>
      </c>
      <c r="F19" s="116">
        <v>6617</v>
      </c>
      <c r="G19" s="117">
        <v>6703</v>
      </c>
      <c r="H19" s="117">
        <v>5295</v>
      </c>
      <c r="I19" s="117">
        <v>6363</v>
      </c>
      <c r="J19" s="117">
        <v>5424</v>
      </c>
      <c r="K19" s="117">
        <v>5755</v>
      </c>
      <c r="L19" s="117">
        <v>6416</v>
      </c>
      <c r="M19" s="117">
        <v>4055</v>
      </c>
      <c r="N19" s="117"/>
      <c r="O19" s="117"/>
      <c r="P19" s="121">
        <f t="shared" si="2"/>
        <v>59743</v>
      </c>
    </row>
    <row r="20" spans="2:16" s="14" customFormat="1" ht="15" customHeight="1" x14ac:dyDescent="0.25">
      <c r="B20" s="383"/>
      <c r="C20" s="181" t="s">
        <v>32</v>
      </c>
      <c r="D20" s="116">
        <v>7454</v>
      </c>
      <c r="E20" s="117">
        <v>9067</v>
      </c>
      <c r="F20" s="116">
        <v>10155</v>
      </c>
      <c r="G20" s="117">
        <v>8796</v>
      </c>
      <c r="H20" s="117">
        <v>7734</v>
      </c>
      <c r="I20" s="117">
        <v>7923</v>
      </c>
      <c r="J20" s="117">
        <v>7053</v>
      </c>
      <c r="K20" s="117">
        <v>6531</v>
      </c>
      <c r="L20" s="117">
        <v>8978</v>
      </c>
      <c r="M20" s="117">
        <v>6788</v>
      </c>
      <c r="N20" s="117"/>
      <c r="O20" s="117"/>
      <c r="P20" s="121">
        <f t="shared" si="2"/>
        <v>80479</v>
      </c>
    </row>
    <row r="21" spans="2:16" s="14" customFormat="1" ht="15" customHeight="1" x14ac:dyDescent="0.25">
      <c r="B21" s="383"/>
      <c r="C21" s="181" t="s">
        <v>33</v>
      </c>
      <c r="D21" s="116">
        <v>0</v>
      </c>
      <c r="E21" s="117">
        <v>0</v>
      </c>
      <c r="F21" s="116">
        <v>0</v>
      </c>
      <c r="G21" s="117">
        <v>0</v>
      </c>
      <c r="H21" s="117">
        <v>0</v>
      </c>
      <c r="I21" s="117">
        <v>0</v>
      </c>
      <c r="J21" s="117">
        <v>0</v>
      </c>
      <c r="K21" s="117"/>
      <c r="L21" s="117"/>
      <c r="M21" s="117"/>
      <c r="N21" s="117"/>
      <c r="O21" s="117"/>
      <c r="P21" s="118">
        <f t="shared" si="2"/>
        <v>0</v>
      </c>
    </row>
    <row r="22" spans="2:16" s="14" customFormat="1" ht="15" customHeight="1" x14ac:dyDescent="0.25">
      <c r="B22" s="383"/>
      <c r="C22" s="181" t="s">
        <v>34</v>
      </c>
      <c r="D22" s="119">
        <v>6068</v>
      </c>
      <c r="E22" s="120">
        <v>7734</v>
      </c>
      <c r="F22" s="116">
        <v>7710</v>
      </c>
      <c r="G22" s="120">
        <v>7592</v>
      </c>
      <c r="H22" s="120">
        <v>6651</v>
      </c>
      <c r="I22" s="120">
        <v>6714</v>
      </c>
      <c r="J22" s="120">
        <v>7211</v>
      </c>
      <c r="K22" s="120">
        <v>6031</v>
      </c>
      <c r="L22" s="120">
        <v>6758</v>
      </c>
      <c r="M22" s="120">
        <v>4515</v>
      </c>
      <c r="N22" s="120"/>
      <c r="O22" s="120"/>
      <c r="P22" s="118">
        <f t="shared" si="2"/>
        <v>66984</v>
      </c>
    </row>
    <row r="23" spans="2:16" s="14" customFormat="1" ht="15" customHeight="1" x14ac:dyDescent="0.25">
      <c r="B23" s="383"/>
      <c r="C23" s="181" t="s">
        <v>35</v>
      </c>
      <c r="D23" s="119">
        <v>0</v>
      </c>
      <c r="E23" s="120">
        <v>0</v>
      </c>
      <c r="F23" s="116">
        <v>96</v>
      </c>
      <c r="G23" s="120">
        <v>1248</v>
      </c>
      <c r="H23" s="120">
        <v>1348</v>
      </c>
      <c r="I23" s="120">
        <v>1302</v>
      </c>
      <c r="J23" s="120">
        <v>1271</v>
      </c>
      <c r="K23" s="120">
        <v>887</v>
      </c>
      <c r="L23" s="120">
        <v>777</v>
      </c>
      <c r="M23" s="120">
        <v>611</v>
      </c>
      <c r="N23" s="120"/>
      <c r="O23" s="120"/>
      <c r="P23" s="118">
        <f t="shared" si="2"/>
        <v>7540</v>
      </c>
    </row>
    <row r="24" spans="2:16" s="14" customFormat="1" ht="15" customHeight="1" thickBot="1" x14ac:dyDescent="0.3">
      <c r="B24" s="384"/>
      <c r="C24" s="179" t="s">
        <v>9</v>
      </c>
      <c r="D24" s="295">
        <f t="shared" ref="D24:O24" si="3">SUM(D13:D23)</f>
        <v>25520</v>
      </c>
      <c r="E24" s="295">
        <f t="shared" si="3"/>
        <v>32432</v>
      </c>
      <c r="F24" s="296">
        <f t="shared" si="3"/>
        <v>35502</v>
      </c>
      <c r="G24" s="296">
        <f t="shared" si="3"/>
        <v>35152</v>
      </c>
      <c r="H24" s="296">
        <f t="shared" si="3"/>
        <v>29596</v>
      </c>
      <c r="I24" s="296">
        <f t="shared" si="3"/>
        <v>31133</v>
      </c>
      <c r="J24" s="296">
        <f t="shared" si="3"/>
        <v>30223</v>
      </c>
      <c r="K24" s="296">
        <f t="shared" si="3"/>
        <v>28013</v>
      </c>
      <c r="L24" s="296">
        <f t="shared" si="3"/>
        <v>32610</v>
      </c>
      <c r="M24" s="296">
        <f t="shared" si="3"/>
        <v>23926</v>
      </c>
      <c r="N24" s="296">
        <f t="shared" si="3"/>
        <v>0</v>
      </c>
      <c r="O24" s="296">
        <f t="shared" si="3"/>
        <v>0</v>
      </c>
      <c r="P24" s="297">
        <f>SUM(P13:P23)</f>
        <v>304107</v>
      </c>
    </row>
    <row r="25" spans="2:16" s="14" customFormat="1" ht="15" customHeight="1" x14ac:dyDescent="0.25">
      <c r="B25" s="379" t="s">
        <v>80</v>
      </c>
      <c r="C25" s="182" t="s">
        <v>37</v>
      </c>
      <c r="D25" s="325"/>
      <c r="E25" s="123"/>
      <c r="F25" s="326"/>
      <c r="G25" s="123"/>
      <c r="H25" s="123"/>
      <c r="I25" s="123"/>
      <c r="J25" s="123"/>
      <c r="K25" s="123">
        <v>161</v>
      </c>
      <c r="L25" s="123">
        <v>672</v>
      </c>
      <c r="M25" s="123">
        <v>1814</v>
      </c>
      <c r="N25" s="123"/>
      <c r="O25" s="123"/>
      <c r="P25" s="125">
        <f>SUM(D25:O25)</f>
        <v>2647</v>
      </c>
    </row>
    <row r="26" spans="2:16" s="14" customFormat="1" ht="15" customHeight="1" x14ac:dyDescent="0.25">
      <c r="B26" s="380"/>
      <c r="C26" s="183" t="s">
        <v>38</v>
      </c>
      <c r="D26" s="126">
        <v>2419</v>
      </c>
      <c r="E26" s="127">
        <v>3281</v>
      </c>
      <c r="F26" s="124">
        <v>3419</v>
      </c>
      <c r="G26" s="127">
        <v>3303</v>
      </c>
      <c r="H26" s="127">
        <v>2629</v>
      </c>
      <c r="I26" s="127">
        <v>2830</v>
      </c>
      <c r="J26" s="127">
        <v>3520</v>
      </c>
      <c r="K26" s="127">
        <v>3168</v>
      </c>
      <c r="L26" s="127">
        <v>3228</v>
      </c>
      <c r="M26" s="127">
        <v>2847</v>
      </c>
      <c r="N26" s="127"/>
      <c r="O26" s="127"/>
      <c r="P26" s="128">
        <f>SUM(D26:O26)</f>
        <v>30644</v>
      </c>
    </row>
    <row r="27" spans="2:16" s="14" customFormat="1" ht="15" customHeight="1" x14ac:dyDescent="0.25">
      <c r="B27" s="380"/>
      <c r="C27" s="183" t="s">
        <v>39</v>
      </c>
      <c r="D27" s="126">
        <v>101</v>
      </c>
      <c r="E27" s="127">
        <v>114</v>
      </c>
      <c r="F27" s="116">
        <v>129</v>
      </c>
      <c r="G27" s="127">
        <v>135</v>
      </c>
      <c r="H27" s="127">
        <v>114</v>
      </c>
      <c r="I27" s="127">
        <v>115</v>
      </c>
      <c r="J27" s="127">
        <v>111</v>
      </c>
      <c r="K27" s="127">
        <v>114</v>
      </c>
      <c r="L27" s="127">
        <v>137</v>
      </c>
      <c r="M27" s="127">
        <v>95</v>
      </c>
      <c r="N27" s="127"/>
      <c r="O27" s="127"/>
      <c r="P27" s="128">
        <f>SUM(D27:O27)</f>
        <v>1165</v>
      </c>
    </row>
    <row r="28" spans="2:16" s="14" customFormat="1" ht="15" customHeight="1" thickBot="1" x14ac:dyDescent="0.3">
      <c r="B28" s="385"/>
      <c r="C28" s="178" t="s">
        <v>9</v>
      </c>
      <c r="D28" s="298">
        <f t="shared" ref="D28:O28" si="4">SUM(D25:D27)</f>
        <v>2520</v>
      </c>
      <c r="E28" s="298">
        <f t="shared" si="4"/>
        <v>3395</v>
      </c>
      <c r="F28" s="298">
        <f t="shared" si="4"/>
        <v>3548</v>
      </c>
      <c r="G28" s="298">
        <f t="shared" si="4"/>
        <v>3438</v>
      </c>
      <c r="H28" s="298">
        <f t="shared" si="4"/>
        <v>2743</v>
      </c>
      <c r="I28" s="298">
        <f t="shared" si="4"/>
        <v>2945</v>
      </c>
      <c r="J28" s="298">
        <f t="shared" si="4"/>
        <v>3631</v>
      </c>
      <c r="K28" s="298">
        <f t="shared" si="4"/>
        <v>3443</v>
      </c>
      <c r="L28" s="298">
        <f t="shared" si="4"/>
        <v>4037</v>
      </c>
      <c r="M28" s="298">
        <f t="shared" si="4"/>
        <v>4756</v>
      </c>
      <c r="N28" s="298">
        <f t="shared" si="4"/>
        <v>0</v>
      </c>
      <c r="O28" s="298">
        <f t="shared" si="4"/>
        <v>0</v>
      </c>
      <c r="P28" s="299">
        <f>SUM(P25:P27)</f>
        <v>34456</v>
      </c>
    </row>
    <row r="29" spans="2:16" s="14" customFormat="1" ht="15" customHeight="1" thickBot="1" x14ac:dyDescent="0.3">
      <c r="B29" s="377" t="s">
        <v>81</v>
      </c>
      <c r="C29" s="378"/>
      <c r="D29" s="300">
        <f t="shared" ref="D29:O29" si="5">D12+D24+D28</f>
        <v>38403</v>
      </c>
      <c r="E29" s="300">
        <f t="shared" si="5"/>
        <v>46003</v>
      </c>
      <c r="F29" s="300">
        <f t="shared" si="5"/>
        <v>50006</v>
      </c>
      <c r="G29" s="300">
        <f t="shared" si="5"/>
        <v>51005</v>
      </c>
      <c r="H29" s="300">
        <f t="shared" si="5"/>
        <v>45003</v>
      </c>
      <c r="I29" s="300">
        <f t="shared" si="5"/>
        <v>46003</v>
      </c>
      <c r="J29" s="300">
        <f t="shared" si="5"/>
        <v>45017</v>
      </c>
      <c r="K29" s="300">
        <f t="shared" si="5"/>
        <v>43501</v>
      </c>
      <c r="L29" s="300">
        <f t="shared" si="5"/>
        <v>49001</v>
      </c>
      <c r="M29" s="300">
        <f t="shared" si="5"/>
        <v>40001</v>
      </c>
      <c r="N29" s="300">
        <f t="shared" si="5"/>
        <v>0</v>
      </c>
      <c r="O29" s="300">
        <f t="shared" si="5"/>
        <v>0</v>
      </c>
      <c r="P29" s="301">
        <f>P12+P24+P28</f>
        <v>453943</v>
      </c>
    </row>
    <row r="30" spans="2:16" s="14" customFormat="1" ht="15" customHeight="1" x14ac:dyDescent="0.25">
      <c r="B30" s="379" t="s">
        <v>82</v>
      </c>
      <c r="C30" s="182" t="s">
        <v>42</v>
      </c>
      <c r="D30" s="122"/>
      <c r="E30" s="123"/>
      <c r="F30" s="124"/>
      <c r="G30" s="123"/>
      <c r="H30" s="123"/>
      <c r="I30" s="123"/>
      <c r="J30" s="123"/>
      <c r="K30" s="123"/>
      <c r="L30" s="123"/>
      <c r="M30" s="123"/>
      <c r="N30" s="123"/>
      <c r="O30" s="123"/>
      <c r="P30" s="125">
        <f>SUM(D30:O30)</f>
        <v>0</v>
      </c>
    </row>
    <row r="31" spans="2:16" s="14" customFormat="1" ht="15" customHeight="1" x14ac:dyDescent="0.25">
      <c r="B31" s="380"/>
      <c r="C31" s="183" t="s">
        <v>43</v>
      </c>
      <c r="D31" s="126">
        <v>9</v>
      </c>
      <c r="E31" s="127">
        <v>44</v>
      </c>
      <c r="F31" s="116">
        <v>99</v>
      </c>
      <c r="G31" s="127">
        <v>80</v>
      </c>
      <c r="H31" s="127">
        <v>122</v>
      </c>
      <c r="I31" s="127">
        <v>322</v>
      </c>
      <c r="J31" s="127">
        <v>116</v>
      </c>
      <c r="K31" s="127">
        <v>174</v>
      </c>
      <c r="L31" s="127">
        <v>200</v>
      </c>
      <c r="M31" s="127">
        <v>343</v>
      </c>
      <c r="N31" s="127"/>
      <c r="O31" s="127"/>
      <c r="P31" s="128">
        <f>SUM(D31:O31)</f>
        <v>1509</v>
      </c>
    </row>
    <row r="32" spans="2:16" s="14" customFormat="1" ht="15" customHeight="1" thickBot="1" x14ac:dyDescent="0.3">
      <c r="B32" s="385"/>
      <c r="C32" s="178" t="s">
        <v>9</v>
      </c>
      <c r="D32" s="302">
        <f>SUM(D30:D31)</f>
        <v>9</v>
      </c>
      <c r="E32" s="302">
        <f t="shared" ref="E32:P32" si="6">SUM(E30:E31)</f>
        <v>44</v>
      </c>
      <c r="F32" s="302">
        <f t="shared" si="6"/>
        <v>99</v>
      </c>
      <c r="G32" s="302">
        <f t="shared" si="6"/>
        <v>80</v>
      </c>
      <c r="H32" s="302">
        <f t="shared" si="6"/>
        <v>122</v>
      </c>
      <c r="I32" s="302">
        <f t="shared" si="6"/>
        <v>322</v>
      </c>
      <c r="J32" s="302">
        <f t="shared" si="6"/>
        <v>116</v>
      </c>
      <c r="K32" s="302">
        <f t="shared" si="6"/>
        <v>174</v>
      </c>
      <c r="L32" s="302">
        <f t="shared" si="6"/>
        <v>200</v>
      </c>
      <c r="M32" s="302">
        <f t="shared" si="6"/>
        <v>343</v>
      </c>
      <c r="N32" s="302">
        <f t="shared" si="6"/>
        <v>0</v>
      </c>
      <c r="O32" s="302">
        <f t="shared" si="6"/>
        <v>0</v>
      </c>
      <c r="P32" s="303">
        <f t="shared" si="6"/>
        <v>1509</v>
      </c>
    </row>
    <row r="33" spans="2:16" s="14" customFormat="1" ht="15" customHeight="1" thickBot="1" x14ac:dyDescent="0.3">
      <c r="B33" s="377" t="s">
        <v>83</v>
      </c>
      <c r="C33" s="378"/>
      <c r="D33" s="300">
        <f t="shared" ref="D33:O33" si="7">D12+D24+D28+D32</f>
        <v>38412</v>
      </c>
      <c r="E33" s="300">
        <f t="shared" si="7"/>
        <v>46047</v>
      </c>
      <c r="F33" s="300">
        <f t="shared" si="7"/>
        <v>50105</v>
      </c>
      <c r="G33" s="300">
        <f t="shared" si="7"/>
        <v>51085</v>
      </c>
      <c r="H33" s="300">
        <f t="shared" si="7"/>
        <v>45125</v>
      </c>
      <c r="I33" s="300">
        <f t="shared" si="7"/>
        <v>46325</v>
      </c>
      <c r="J33" s="300">
        <f t="shared" si="7"/>
        <v>45133</v>
      </c>
      <c r="K33" s="300">
        <f t="shared" si="7"/>
        <v>43675</v>
      </c>
      <c r="L33" s="300">
        <f t="shared" si="7"/>
        <v>49201</v>
      </c>
      <c r="M33" s="300">
        <f t="shared" si="7"/>
        <v>40344</v>
      </c>
      <c r="N33" s="300">
        <f t="shared" si="7"/>
        <v>0</v>
      </c>
      <c r="O33" s="300">
        <f t="shared" si="7"/>
        <v>0</v>
      </c>
      <c r="P33" s="301">
        <f>P12+P24+P28+P32</f>
        <v>455452</v>
      </c>
    </row>
    <row r="34" spans="2:16" s="14" customFormat="1" ht="15" customHeight="1" x14ac:dyDescent="0.25">
      <c r="B34" s="86"/>
      <c r="C34" s="86"/>
      <c r="D34" s="19"/>
      <c r="E34" s="19"/>
      <c r="F34" s="19"/>
      <c r="G34" s="19"/>
      <c r="H34" s="19"/>
      <c r="I34" s="19"/>
      <c r="J34" s="19"/>
      <c r="K34" s="19"/>
      <c r="L34" s="19"/>
      <c r="M34" s="87"/>
      <c r="N34" s="87"/>
      <c r="O34" s="87"/>
      <c r="P34" s="19"/>
    </row>
    <row r="35" spans="2:16" s="14" customFormat="1" ht="15" customHeight="1" x14ac:dyDescent="0.25">
      <c r="B35" s="88" t="s">
        <v>18</v>
      </c>
      <c r="C35" s="89"/>
      <c r="D35" s="90">
        <f t="shared" ref="D35:P35" si="8">D6</f>
        <v>3876</v>
      </c>
      <c r="E35" s="90">
        <f t="shared" si="8"/>
        <v>4287</v>
      </c>
      <c r="F35" s="90">
        <f t="shared" si="8"/>
        <v>4584</v>
      </c>
      <c r="G35" s="90">
        <f t="shared" si="8"/>
        <v>4262</v>
      </c>
      <c r="H35" s="90">
        <f t="shared" si="8"/>
        <v>4000</v>
      </c>
      <c r="I35" s="90">
        <f t="shared" si="8"/>
        <v>4260</v>
      </c>
      <c r="J35" s="90">
        <f t="shared" si="8"/>
        <v>3769</v>
      </c>
      <c r="K35" s="90">
        <f t="shared" si="8"/>
        <v>3484</v>
      </c>
      <c r="L35" s="90">
        <f t="shared" si="8"/>
        <v>4003</v>
      </c>
      <c r="M35" s="90">
        <f t="shared" si="8"/>
        <v>3382</v>
      </c>
      <c r="N35" s="90">
        <f t="shared" si="8"/>
        <v>0</v>
      </c>
      <c r="O35" s="90">
        <f t="shared" si="8"/>
        <v>0</v>
      </c>
      <c r="P35" s="90">
        <f t="shared" si="8"/>
        <v>39907</v>
      </c>
    </row>
    <row r="36" spans="2:16" s="14" customFormat="1" ht="15" customHeight="1" x14ac:dyDescent="0.25">
      <c r="B36" s="94"/>
      <c r="C36" s="184" t="s">
        <v>18</v>
      </c>
      <c r="D36" s="92">
        <f t="shared" ref="D36:O36" si="9">D35-D37</f>
        <v>3803</v>
      </c>
      <c r="E36" s="92">
        <f t="shared" si="9"/>
        <v>3774</v>
      </c>
      <c r="F36" s="92">
        <f t="shared" si="9"/>
        <v>3375</v>
      </c>
      <c r="G36" s="92">
        <f t="shared" si="9"/>
        <v>3634</v>
      </c>
      <c r="H36" s="92">
        <f t="shared" si="9"/>
        <v>3194</v>
      </c>
      <c r="I36" s="92">
        <f t="shared" si="9"/>
        <v>2955</v>
      </c>
      <c r="J36" s="92">
        <f t="shared" si="9"/>
        <v>2327</v>
      </c>
      <c r="K36" s="92">
        <f t="shared" si="9"/>
        <v>2463</v>
      </c>
      <c r="L36" s="92">
        <f t="shared" si="9"/>
        <v>2962</v>
      </c>
      <c r="M36" s="92">
        <f t="shared" si="9"/>
        <v>2591</v>
      </c>
      <c r="N36" s="92">
        <f t="shared" si="9"/>
        <v>0</v>
      </c>
      <c r="O36" s="92">
        <f t="shared" si="9"/>
        <v>0</v>
      </c>
      <c r="P36" s="150">
        <f>SUM(D36:O36)</f>
        <v>31078</v>
      </c>
    </row>
    <row r="37" spans="2:16" s="14" customFormat="1" ht="15" customHeight="1" x14ac:dyDescent="0.25">
      <c r="B37" s="95"/>
      <c r="C37" s="184" t="s">
        <v>50</v>
      </c>
      <c r="D37" s="92">
        <v>73</v>
      </c>
      <c r="E37" s="92">
        <v>513</v>
      </c>
      <c r="F37" s="92">
        <v>1209</v>
      </c>
      <c r="G37" s="92">
        <v>628</v>
      </c>
      <c r="H37" s="92">
        <v>806</v>
      </c>
      <c r="I37" s="92">
        <v>1305</v>
      </c>
      <c r="J37" s="92">
        <v>1442</v>
      </c>
      <c r="K37" s="92">
        <v>1021</v>
      </c>
      <c r="L37" s="92">
        <v>1041</v>
      </c>
      <c r="M37" s="92">
        <v>791</v>
      </c>
      <c r="N37" s="92"/>
      <c r="O37" s="92"/>
      <c r="P37" s="150">
        <f>SUM(D37:O37)</f>
        <v>8829</v>
      </c>
    </row>
    <row r="38" spans="2:16" s="14" customFormat="1" ht="15" customHeight="1" x14ac:dyDescent="0.25">
      <c r="B38" s="86"/>
      <c r="C38" s="86"/>
      <c r="D38" s="19"/>
      <c r="E38" s="19"/>
      <c r="F38" s="19"/>
      <c r="G38" s="19"/>
      <c r="H38" s="19"/>
      <c r="I38" s="19"/>
      <c r="J38" s="19"/>
      <c r="K38" s="19"/>
      <c r="L38" s="19"/>
      <c r="M38" s="87"/>
      <c r="N38" s="87"/>
      <c r="O38" s="87"/>
      <c r="P38" s="19"/>
    </row>
    <row r="39" spans="2:16" s="14" customFormat="1" ht="15" customHeight="1" x14ac:dyDescent="0.25">
      <c r="B39" s="88" t="s">
        <v>21</v>
      </c>
      <c r="C39" s="89"/>
      <c r="D39" s="90">
        <f t="shared" ref="D39:P39" si="10">D9</f>
        <v>2583</v>
      </c>
      <c r="E39" s="90">
        <f t="shared" si="10"/>
        <v>2503</v>
      </c>
      <c r="F39" s="90">
        <f t="shared" si="10"/>
        <v>2863</v>
      </c>
      <c r="G39" s="90">
        <f t="shared" si="10"/>
        <v>3581</v>
      </c>
      <c r="H39" s="90">
        <f t="shared" si="10"/>
        <v>3028</v>
      </c>
      <c r="I39" s="90">
        <f t="shared" si="10"/>
        <v>2873</v>
      </c>
      <c r="J39" s="90">
        <f t="shared" si="10"/>
        <v>2868</v>
      </c>
      <c r="K39" s="90">
        <f t="shared" si="10"/>
        <v>3238</v>
      </c>
      <c r="L39" s="90">
        <f t="shared" si="10"/>
        <v>3127</v>
      </c>
      <c r="M39" s="90">
        <f t="shared" si="10"/>
        <v>3045</v>
      </c>
      <c r="N39" s="90">
        <f t="shared" si="10"/>
        <v>0</v>
      </c>
      <c r="O39" s="90">
        <f t="shared" si="10"/>
        <v>0</v>
      </c>
      <c r="P39" s="90">
        <f t="shared" si="10"/>
        <v>29709</v>
      </c>
    </row>
    <row r="40" spans="2:16" s="14" customFormat="1" ht="15" customHeight="1" x14ac:dyDescent="0.25">
      <c r="B40" s="94"/>
      <c r="C40" s="184" t="s">
        <v>84</v>
      </c>
      <c r="D40" s="92">
        <f t="shared" ref="D40:O40" si="11">D39-D41</f>
        <v>2025</v>
      </c>
      <c r="E40" s="92">
        <f t="shared" si="11"/>
        <v>1981</v>
      </c>
      <c r="F40" s="92">
        <f t="shared" si="11"/>
        <v>2219</v>
      </c>
      <c r="G40" s="92">
        <f t="shared" si="11"/>
        <v>2980</v>
      </c>
      <c r="H40" s="92">
        <f t="shared" si="11"/>
        <v>2494</v>
      </c>
      <c r="I40" s="92">
        <f t="shared" si="11"/>
        <v>2241</v>
      </c>
      <c r="J40" s="92">
        <f t="shared" si="11"/>
        <v>2152</v>
      </c>
      <c r="K40" s="92">
        <f t="shared" si="11"/>
        <v>2337</v>
      </c>
      <c r="L40" s="92">
        <f t="shared" si="11"/>
        <v>2359</v>
      </c>
      <c r="M40" s="92">
        <f t="shared" si="11"/>
        <v>2499</v>
      </c>
      <c r="N40" s="92">
        <f t="shared" si="11"/>
        <v>0</v>
      </c>
      <c r="O40" s="92">
        <f t="shared" si="11"/>
        <v>0</v>
      </c>
      <c r="P40" s="150">
        <f>SUM(D40:O40)</f>
        <v>23287</v>
      </c>
    </row>
    <row r="41" spans="2:16" s="14" customFormat="1" ht="15" customHeight="1" x14ac:dyDescent="0.25">
      <c r="B41" s="95"/>
      <c r="C41" s="184" t="s">
        <v>85</v>
      </c>
      <c r="D41" s="92">
        <v>558</v>
      </c>
      <c r="E41" s="92">
        <v>522</v>
      </c>
      <c r="F41" s="92">
        <v>644</v>
      </c>
      <c r="G41" s="92">
        <v>601</v>
      </c>
      <c r="H41" s="92">
        <v>534</v>
      </c>
      <c r="I41" s="92">
        <v>632</v>
      </c>
      <c r="J41" s="92">
        <v>716</v>
      </c>
      <c r="K41" s="92">
        <v>901</v>
      </c>
      <c r="L41" s="92">
        <v>768</v>
      </c>
      <c r="M41" s="92">
        <v>546</v>
      </c>
      <c r="N41" s="92"/>
      <c r="O41" s="92"/>
      <c r="P41" s="150">
        <f>SUM(D41:O41)</f>
        <v>6422</v>
      </c>
    </row>
    <row r="42" spans="2:16" s="14" customFormat="1" ht="15" customHeight="1" x14ac:dyDescent="0.25">
      <c r="B42" s="96"/>
      <c r="C42" s="85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8"/>
    </row>
    <row r="43" spans="2:16" s="14" customFormat="1" ht="15" customHeight="1" x14ac:dyDescent="0.25">
      <c r="B43" s="88" t="s">
        <v>86</v>
      </c>
      <c r="C43" s="185"/>
      <c r="D43" s="90">
        <f t="shared" ref="D43:P43" si="12">D10</f>
        <v>2297</v>
      </c>
      <c r="E43" s="90">
        <f t="shared" si="12"/>
        <v>2457</v>
      </c>
      <c r="F43" s="90">
        <f t="shared" si="12"/>
        <v>2704</v>
      </c>
      <c r="G43" s="90">
        <f t="shared" si="12"/>
        <v>2566</v>
      </c>
      <c r="H43" s="90">
        <f t="shared" si="12"/>
        <v>2627</v>
      </c>
      <c r="I43" s="90">
        <f t="shared" si="12"/>
        <v>2423</v>
      </c>
      <c r="J43" s="90">
        <f t="shared" si="12"/>
        <v>2090</v>
      </c>
      <c r="K43" s="90">
        <f t="shared" si="12"/>
        <v>1976</v>
      </c>
      <c r="L43" s="90">
        <f t="shared" si="12"/>
        <v>2159</v>
      </c>
      <c r="M43" s="90">
        <f t="shared" si="12"/>
        <v>2129</v>
      </c>
      <c r="N43" s="90">
        <f t="shared" si="12"/>
        <v>0</v>
      </c>
      <c r="O43" s="90">
        <f t="shared" si="12"/>
        <v>0</v>
      </c>
      <c r="P43" s="90">
        <f t="shared" si="12"/>
        <v>23428</v>
      </c>
    </row>
    <row r="44" spans="2:16" s="14" customFormat="1" ht="15" customHeight="1" x14ac:dyDescent="0.25">
      <c r="B44" s="91"/>
      <c r="C44" s="184" t="s">
        <v>87</v>
      </c>
      <c r="D44" s="151">
        <f t="shared" ref="D44:O44" si="13">D43-D45</f>
        <v>1083</v>
      </c>
      <c r="E44" s="151">
        <f t="shared" si="13"/>
        <v>945</v>
      </c>
      <c r="F44" s="151">
        <f t="shared" si="13"/>
        <v>1055</v>
      </c>
      <c r="G44" s="151">
        <f t="shared" si="13"/>
        <v>1025</v>
      </c>
      <c r="H44" s="151">
        <f t="shared" si="13"/>
        <v>975</v>
      </c>
      <c r="I44" s="151">
        <f t="shared" si="13"/>
        <v>752</v>
      </c>
      <c r="J44" s="151">
        <f t="shared" si="13"/>
        <v>768</v>
      </c>
      <c r="K44" s="151">
        <f t="shared" si="13"/>
        <v>779</v>
      </c>
      <c r="L44" s="151">
        <f t="shared" si="13"/>
        <v>847</v>
      </c>
      <c r="M44" s="151">
        <f t="shared" si="13"/>
        <v>835</v>
      </c>
      <c r="N44" s="151">
        <f t="shared" si="13"/>
        <v>0</v>
      </c>
      <c r="O44" s="151">
        <f t="shared" si="13"/>
        <v>0</v>
      </c>
      <c r="P44" s="151">
        <f>SUM(D44:O44)</f>
        <v>9064</v>
      </c>
    </row>
    <row r="45" spans="2:16" s="14" customFormat="1" ht="15" customHeight="1" x14ac:dyDescent="0.25">
      <c r="B45" s="154"/>
      <c r="C45" s="184" t="s">
        <v>88</v>
      </c>
      <c r="D45" s="151">
        <v>1214</v>
      </c>
      <c r="E45" s="151">
        <v>1512</v>
      </c>
      <c r="F45" s="151">
        <v>1649</v>
      </c>
      <c r="G45" s="151">
        <v>1541</v>
      </c>
      <c r="H45" s="151">
        <v>1652</v>
      </c>
      <c r="I45" s="151">
        <v>1671</v>
      </c>
      <c r="J45" s="151">
        <v>1322</v>
      </c>
      <c r="K45" s="151">
        <v>1197</v>
      </c>
      <c r="L45" s="151">
        <v>1312</v>
      </c>
      <c r="M45" s="151">
        <v>1294</v>
      </c>
      <c r="N45" s="151"/>
      <c r="O45" s="151"/>
      <c r="P45" s="151">
        <f>SUM(D45:O45)</f>
        <v>14364</v>
      </c>
    </row>
    <row r="46" spans="2:16" s="14" customFormat="1" ht="15" customHeight="1" x14ac:dyDescent="0.25">
      <c r="B46" s="96"/>
      <c r="C46" s="8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8"/>
    </row>
    <row r="47" spans="2:16" s="14" customFormat="1" ht="15" customHeight="1" x14ac:dyDescent="0.25">
      <c r="B47" s="88" t="s">
        <v>25</v>
      </c>
      <c r="C47" s="89"/>
      <c r="D47" s="90">
        <f t="shared" ref="D47:O47" si="14">D13</f>
        <v>571</v>
      </c>
      <c r="E47" s="90">
        <f t="shared" si="14"/>
        <v>854</v>
      </c>
      <c r="F47" s="90">
        <f t="shared" si="14"/>
        <v>1176</v>
      </c>
      <c r="G47" s="90">
        <f t="shared" si="14"/>
        <v>1716</v>
      </c>
      <c r="H47" s="90">
        <f t="shared" si="14"/>
        <v>1310</v>
      </c>
      <c r="I47" s="90">
        <f t="shared" si="14"/>
        <v>1007</v>
      </c>
      <c r="J47" s="90">
        <f t="shared" si="14"/>
        <v>1035</v>
      </c>
      <c r="K47" s="90">
        <f t="shared" si="14"/>
        <v>1062</v>
      </c>
      <c r="L47" s="90">
        <f t="shared" si="14"/>
        <v>1048</v>
      </c>
      <c r="M47" s="90">
        <f t="shared" si="14"/>
        <v>1128</v>
      </c>
      <c r="N47" s="90">
        <f t="shared" si="14"/>
        <v>0</v>
      </c>
      <c r="O47" s="90">
        <f t="shared" si="14"/>
        <v>0</v>
      </c>
      <c r="P47" s="90">
        <f>SUM(D47:O47)</f>
        <v>10907</v>
      </c>
    </row>
    <row r="48" spans="2:16" s="14" customFormat="1" ht="15" customHeight="1" x14ac:dyDescent="0.25">
      <c r="B48" s="91"/>
      <c r="C48" s="184" t="s">
        <v>75</v>
      </c>
      <c r="D48" s="92">
        <f t="shared" ref="D48:O48" si="15">D47-D49-D50</f>
        <v>560</v>
      </c>
      <c r="E48" s="92">
        <f t="shared" si="15"/>
        <v>800</v>
      </c>
      <c r="F48" s="92">
        <f t="shared" si="15"/>
        <v>1147</v>
      </c>
      <c r="G48" s="92">
        <f t="shared" si="15"/>
        <v>1644</v>
      </c>
      <c r="H48" s="92">
        <f>H47-H49-H50</f>
        <v>1283</v>
      </c>
      <c r="I48" s="92">
        <f t="shared" si="15"/>
        <v>999</v>
      </c>
      <c r="J48" s="92">
        <f t="shared" si="15"/>
        <v>1027</v>
      </c>
      <c r="K48" s="92">
        <f t="shared" si="15"/>
        <v>1037</v>
      </c>
      <c r="L48" s="92">
        <f t="shared" si="15"/>
        <v>1025</v>
      </c>
      <c r="M48" s="92">
        <f t="shared" si="15"/>
        <v>1122</v>
      </c>
      <c r="N48" s="92">
        <f t="shared" si="15"/>
        <v>0</v>
      </c>
      <c r="O48" s="92">
        <f t="shared" si="15"/>
        <v>0</v>
      </c>
      <c r="P48" s="93">
        <f>SUM(D48:O48)</f>
        <v>10644</v>
      </c>
    </row>
    <row r="49" spans="2:16" s="14" customFormat="1" ht="15" customHeight="1" x14ac:dyDescent="0.25">
      <c r="B49" s="94"/>
      <c r="C49" s="184" t="s">
        <v>76</v>
      </c>
      <c r="D49" s="92">
        <v>11</v>
      </c>
      <c r="E49" s="92">
        <v>53</v>
      </c>
      <c r="F49" s="92">
        <v>29</v>
      </c>
      <c r="G49" s="92">
        <v>72</v>
      </c>
      <c r="H49" s="92">
        <v>27</v>
      </c>
      <c r="I49" s="92">
        <v>8</v>
      </c>
      <c r="J49" s="92">
        <v>8</v>
      </c>
      <c r="K49" s="92">
        <v>25</v>
      </c>
      <c r="L49" s="92">
        <v>23</v>
      </c>
      <c r="M49" s="92">
        <v>6</v>
      </c>
      <c r="N49" s="92"/>
      <c r="O49" s="92"/>
      <c r="P49" s="93">
        <f>SUM(D49:O49)</f>
        <v>262</v>
      </c>
    </row>
    <row r="50" spans="2:16" s="14" customFormat="1" ht="15" customHeight="1" x14ac:dyDescent="0.25">
      <c r="B50" s="95"/>
      <c r="C50" s="184" t="s">
        <v>89</v>
      </c>
      <c r="D50" s="92">
        <v>0</v>
      </c>
      <c r="E50" s="92">
        <v>1</v>
      </c>
      <c r="F50" s="92"/>
      <c r="G50" s="92"/>
      <c r="H50" s="92"/>
      <c r="I50" s="92"/>
      <c r="J50" s="92"/>
      <c r="K50" s="92">
        <v>0</v>
      </c>
      <c r="L50" s="92"/>
      <c r="M50" s="92"/>
      <c r="N50" s="92"/>
      <c r="O50" s="92"/>
      <c r="P50" s="93">
        <f>SUM(D50:O50)</f>
        <v>1</v>
      </c>
    </row>
    <row r="51" spans="2:16" s="14" customFormat="1" ht="15" customHeight="1" x14ac:dyDescent="0.25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2:16" s="14" customFormat="1" ht="15" customHeight="1" x14ac:dyDescent="0.25">
      <c r="B52" s="88" t="s">
        <v>31</v>
      </c>
      <c r="C52" s="89"/>
      <c r="D52" s="90">
        <f t="shared" ref="D52:O52" si="16">D19</f>
        <v>6547</v>
      </c>
      <c r="E52" s="90">
        <f t="shared" si="16"/>
        <v>6568</v>
      </c>
      <c r="F52" s="90">
        <f t="shared" si="16"/>
        <v>6617</v>
      </c>
      <c r="G52" s="90">
        <f t="shared" si="16"/>
        <v>6703</v>
      </c>
      <c r="H52" s="90">
        <f t="shared" si="16"/>
        <v>5295</v>
      </c>
      <c r="I52" s="90">
        <f t="shared" si="16"/>
        <v>6363</v>
      </c>
      <c r="J52" s="90">
        <f t="shared" si="16"/>
        <v>5424</v>
      </c>
      <c r="K52" s="90">
        <f t="shared" si="16"/>
        <v>5755</v>
      </c>
      <c r="L52" s="90">
        <f t="shared" si="16"/>
        <v>6416</v>
      </c>
      <c r="M52" s="90">
        <f t="shared" si="16"/>
        <v>4055</v>
      </c>
      <c r="N52" s="90">
        <f t="shared" si="16"/>
        <v>0</v>
      </c>
      <c r="O52" s="90">
        <f t="shared" si="16"/>
        <v>0</v>
      </c>
      <c r="P52" s="90">
        <f>SUM(D52:O52)</f>
        <v>59743</v>
      </c>
    </row>
    <row r="53" spans="2:16" s="14" customFormat="1" ht="15" customHeight="1" x14ac:dyDescent="0.25">
      <c r="B53" s="94"/>
      <c r="C53" s="184" t="s">
        <v>90</v>
      </c>
      <c r="D53" s="92">
        <f>D52-D54</f>
        <v>4402</v>
      </c>
      <c r="E53" s="92">
        <f t="shared" ref="E53:O53" si="17">E52-E54</f>
        <v>4225</v>
      </c>
      <c r="F53" s="92">
        <f t="shared" si="17"/>
        <v>4055</v>
      </c>
      <c r="G53" s="92">
        <f t="shared" si="17"/>
        <v>3678</v>
      </c>
      <c r="H53" s="92">
        <f t="shared" si="17"/>
        <v>2460</v>
      </c>
      <c r="I53" s="92">
        <f t="shared" si="17"/>
        <v>3330</v>
      </c>
      <c r="J53" s="92">
        <f t="shared" si="17"/>
        <v>3651</v>
      </c>
      <c r="K53" s="92">
        <f t="shared" si="17"/>
        <v>4089</v>
      </c>
      <c r="L53" s="92">
        <f t="shared" si="17"/>
        <v>4282</v>
      </c>
      <c r="M53" s="92">
        <f t="shared" si="17"/>
        <v>2666</v>
      </c>
      <c r="N53" s="92">
        <f t="shared" si="17"/>
        <v>0</v>
      </c>
      <c r="O53" s="92">
        <f t="shared" si="17"/>
        <v>0</v>
      </c>
      <c r="P53" s="93">
        <f>SUM(D53:O53)</f>
        <v>36838</v>
      </c>
    </row>
    <row r="54" spans="2:16" s="14" customFormat="1" ht="15" customHeight="1" x14ac:dyDescent="0.25">
      <c r="B54" s="95"/>
      <c r="C54" s="184" t="s">
        <v>91</v>
      </c>
      <c r="D54" s="92">
        <v>2145</v>
      </c>
      <c r="E54" s="92">
        <v>2343</v>
      </c>
      <c r="F54" s="92">
        <v>2562</v>
      </c>
      <c r="G54" s="92">
        <v>3025</v>
      </c>
      <c r="H54" s="92">
        <v>2835</v>
      </c>
      <c r="I54" s="92">
        <v>3033</v>
      </c>
      <c r="J54" s="92">
        <v>1773</v>
      </c>
      <c r="K54" s="92">
        <v>1666</v>
      </c>
      <c r="L54" s="92">
        <v>2134</v>
      </c>
      <c r="M54" s="92">
        <v>1389</v>
      </c>
      <c r="N54" s="92"/>
      <c r="O54" s="92"/>
      <c r="P54" s="93">
        <f>SUM(D54:O54)</f>
        <v>22905</v>
      </c>
    </row>
    <row r="55" spans="2:16" s="14" customFormat="1" ht="15" customHeight="1" x14ac:dyDescent="0.25">
      <c r="B55" s="85"/>
      <c r="C55" s="85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8"/>
    </row>
    <row r="56" spans="2:16" s="14" customFormat="1" ht="15" customHeight="1" x14ac:dyDescent="0.25">
      <c r="B56" s="88" t="s">
        <v>32</v>
      </c>
      <c r="C56" s="89"/>
      <c r="D56" s="90">
        <f t="shared" ref="D56:O56" si="18">D20</f>
        <v>7454</v>
      </c>
      <c r="E56" s="90">
        <f t="shared" si="18"/>
        <v>9067</v>
      </c>
      <c r="F56" s="90">
        <f t="shared" si="18"/>
        <v>10155</v>
      </c>
      <c r="G56" s="90">
        <f t="shared" si="18"/>
        <v>8796</v>
      </c>
      <c r="H56" s="90">
        <f t="shared" si="18"/>
        <v>7734</v>
      </c>
      <c r="I56" s="90">
        <f t="shared" si="18"/>
        <v>7923</v>
      </c>
      <c r="J56" s="90">
        <f t="shared" si="18"/>
        <v>7053</v>
      </c>
      <c r="K56" s="90">
        <f t="shared" si="18"/>
        <v>6531</v>
      </c>
      <c r="L56" s="90">
        <f t="shared" si="18"/>
        <v>8978</v>
      </c>
      <c r="M56" s="90">
        <f t="shared" si="18"/>
        <v>6788</v>
      </c>
      <c r="N56" s="90">
        <f t="shared" si="18"/>
        <v>0</v>
      </c>
      <c r="O56" s="90">
        <f t="shared" si="18"/>
        <v>0</v>
      </c>
      <c r="P56" s="90">
        <f>SUM(D56:O56)</f>
        <v>80479</v>
      </c>
    </row>
    <row r="57" spans="2:16" s="14" customFormat="1" ht="15" customHeight="1" x14ac:dyDescent="0.25">
      <c r="B57" s="91"/>
      <c r="C57" s="184" t="s">
        <v>92</v>
      </c>
      <c r="D57" s="92">
        <f>D56-D58</f>
        <v>2673</v>
      </c>
      <c r="E57" s="92">
        <f t="shared" ref="E57:O57" si="19">E56-E58</f>
        <v>2187</v>
      </c>
      <c r="F57" s="92">
        <f t="shared" si="19"/>
        <v>3218</v>
      </c>
      <c r="G57" s="92">
        <f t="shared" si="19"/>
        <v>2759</v>
      </c>
      <c r="H57" s="92">
        <f t="shared" si="19"/>
        <v>1759</v>
      </c>
      <c r="I57" s="92">
        <f t="shared" si="19"/>
        <v>1791</v>
      </c>
      <c r="J57" s="92">
        <f t="shared" si="19"/>
        <v>1241</v>
      </c>
      <c r="K57" s="92">
        <f t="shared" si="19"/>
        <v>1902</v>
      </c>
      <c r="L57" s="92">
        <f t="shared" si="19"/>
        <v>3032</v>
      </c>
      <c r="M57" s="92">
        <f t="shared" si="19"/>
        <v>2660</v>
      </c>
      <c r="N57" s="92">
        <f t="shared" si="19"/>
        <v>0</v>
      </c>
      <c r="O57" s="92">
        <f t="shared" si="19"/>
        <v>0</v>
      </c>
      <c r="P57" s="93">
        <f>SUM(D57:O57)</f>
        <v>23222</v>
      </c>
    </row>
    <row r="58" spans="2:16" s="14" customFormat="1" ht="15" customHeight="1" x14ac:dyDescent="0.25">
      <c r="B58" s="95"/>
      <c r="C58" s="184" t="s">
        <v>93</v>
      </c>
      <c r="D58" s="92">
        <v>4781</v>
      </c>
      <c r="E58" s="92">
        <v>6880</v>
      </c>
      <c r="F58" s="92">
        <v>6937</v>
      </c>
      <c r="G58" s="92">
        <v>6037</v>
      </c>
      <c r="H58" s="92">
        <v>5975</v>
      </c>
      <c r="I58" s="92">
        <v>6132</v>
      </c>
      <c r="J58" s="92">
        <v>5812</v>
      </c>
      <c r="K58" s="92">
        <v>4629</v>
      </c>
      <c r="L58" s="92">
        <v>5946</v>
      </c>
      <c r="M58" s="92">
        <v>4128</v>
      </c>
      <c r="N58" s="92"/>
      <c r="O58" s="92"/>
      <c r="P58" s="93">
        <f>SUM(D58:O58)</f>
        <v>57257</v>
      </c>
    </row>
    <row r="59" spans="2:16" s="14" customFormat="1" ht="15" customHeight="1" x14ac:dyDescent="0.25">
      <c r="B59" s="85"/>
      <c r="C59" s="24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8"/>
    </row>
    <row r="60" spans="2:16" s="14" customFormat="1" ht="15" customHeight="1" x14ac:dyDescent="0.25">
      <c r="B60" s="88" t="s">
        <v>34</v>
      </c>
      <c r="C60" s="89"/>
      <c r="D60" s="90">
        <f>D22</f>
        <v>6068</v>
      </c>
      <c r="E60" s="90">
        <f t="shared" ref="E60:O60" si="20">E22</f>
        <v>7734</v>
      </c>
      <c r="F60" s="90">
        <f t="shared" si="20"/>
        <v>7710</v>
      </c>
      <c r="G60" s="90">
        <f t="shared" si="20"/>
        <v>7592</v>
      </c>
      <c r="H60" s="90">
        <f t="shared" si="20"/>
        <v>6651</v>
      </c>
      <c r="I60" s="90">
        <f t="shared" si="20"/>
        <v>6714</v>
      </c>
      <c r="J60" s="90">
        <f t="shared" si="20"/>
        <v>7211</v>
      </c>
      <c r="K60" s="90">
        <f t="shared" si="20"/>
        <v>6031</v>
      </c>
      <c r="L60" s="90">
        <f t="shared" si="20"/>
        <v>6758</v>
      </c>
      <c r="M60" s="90">
        <f t="shared" si="20"/>
        <v>4515</v>
      </c>
      <c r="N60" s="90">
        <f t="shared" si="20"/>
        <v>0</v>
      </c>
      <c r="O60" s="90">
        <f t="shared" si="20"/>
        <v>0</v>
      </c>
      <c r="P60" s="90">
        <f t="shared" ref="P60:P66" si="21">SUM(D60:O60)</f>
        <v>66984</v>
      </c>
    </row>
    <row r="61" spans="2:16" s="14" customFormat="1" ht="15" customHeight="1" x14ac:dyDescent="0.25">
      <c r="B61" s="91"/>
      <c r="C61" s="184" t="s">
        <v>94</v>
      </c>
      <c r="D61" s="92">
        <f>D60-D62</f>
        <v>2772</v>
      </c>
      <c r="E61" s="92">
        <f t="shared" ref="E61:O61" si="22">E60-E62</f>
        <v>3560</v>
      </c>
      <c r="F61" s="92">
        <f t="shared" si="22"/>
        <v>3798</v>
      </c>
      <c r="G61" s="92">
        <f t="shared" si="22"/>
        <v>3302</v>
      </c>
      <c r="H61" s="92">
        <f t="shared" si="22"/>
        <v>3151</v>
      </c>
      <c r="I61" s="92">
        <f t="shared" si="22"/>
        <v>2966</v>
      </c>
      <c r="J61" s="92">
        <f t="shared" si="22"/>
        <v>2870</v>
      </c>
      <c r="K61" s="92">
        <f t="shared" si="22"/>
        <v>1941</v>
      </c>
      <c r="L61" s="92">
        <f t="shared" si="22"/>
        <v>2164</v>
      </c>
      <c r="M61" s="92">
        <f t="shared" si="22"/>
        <v>2131</v>
      </c>
      <c r="N61" s="92">
        <f t="shared" si="22"/>
        <v>0</v>
      </c>
      <c r="O61" s="92">
        <f t="shared" si="22"/>
        <v>0</v>
      </c>
      <c r="P61" s="93">
        <f t="shared" si="21"/>
        <v>28655</v>
      </c>
    </row>
    <row r="62" spans="2:16" s="14" customFormat="1" ht="15" customHeight="1" x14ac:dyDescent="0.25">
      <c r="B62" s="95"/>
      <c r="C62" s="184" t="s">
        <v>95</v>
      </c>
      <c r="D62" s="92">
        <v>3296</v>
      </c>
      <c r="E62" s="92">
        <v>4174</v>
      </c>
      <c r="F62" s="92">
        <v>3912</v>
      </c>
      <c r="G62" s="92">
        <v>4290</v>
      </c>
      <c r="H62" s="92">
        <v>3500</v>
      </c>
      <c r="I62" s="92">
        <v>3748</v>
      </c>
      <c r="J62" s="92">
        <v>4341</v>
      </c>
      <c r="K62" s="92">
        <v>4090</v>
      </c>
      <c r="L62" s="92">
        <v>4594</v>
      </c>
      <c r="M62" s="92">
        <v>2384</v>
      </c>
      <c r="N62" s="92"/>
      <c r="O62" s="92"/>
      <c r="P62" s="93">
        <f t="shared" si="21"/>
        <v>38329</v>
      </c>
    </row>
    <row r="63" spans="2:16" s="14" customFormat="1" ht="15" customHeight="1" x14ac:dyDescent="0.25">
      <c r="B63" s="85"/>
      <c r="C63" s="8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8">
        <f t="shared" si="21"/>
        <v>0</v>
      </c>
    </row>
    <row r="64" spans="2:16" s="14" customFormat="1" ht="15" customHeight="1" x14ac:dyDescent="0.25">
      <c r="B64" s="88" t="s">
        <v>38</v>
      </c>
      <c r="C64" s="89"/>
      <c r="D64" s="90">
        <f>D26</f>
        <v>2419</v>
      </c>
      <c r="E64" s="90">
        <f t="shared" ref="E64:K64" si="23">E26</f>
        <v>3281</v>
      </c>
      <c r="F64" s="90">
        <f t="shared" si="23"/>
        <v>3419</v>
      </c>
      <c r="G64" s="90">
        <f t="shared" si="23"/>
        <v>3303</v>
      </c>
      <c r="H64" s="90">
        <f t="shared" si="23"/>
        <v>2629</v>
      </c>
      <c r="I64" s="90">
        <f t="shared" si="23"/>
        <v>2830</v>
      </c>
      <c r="J64" s="90">
        <f t="shared" si="23"/>
        <v>3520</v>
      </c>
      <c r="K64" s="90">
        <f t="shared" si="23"/>
        <v>3168</v>
      </c>
      <c r="L64" s="90">
        <f>L26</f>
        <v>3228</v>
      </c>
      <c r="M64" s="90">
        <f>M25</f>
        <v>1814</v>
      </c>
      <c r="N64" s="90">
        <f>N25</f>
        <v>0</v>
      </c>
      <c r="O64" s="90">
        <f>O25</f>
        <v>0</v>
      </c>
      <c r="P64" s="90">
        <f t="shared" si="21"/>
        <v>29611</v>
      </c>
    </row>
    <row r="65" spans="2:18" s="14" customFormat="1" ht="15" customHeight="1" x14ac:dyDescent="0.25">
      <c r="B65" s="91"/>
      <c r="C65" s="184" t="s">
        <v>38</v>
      </c>
      <c r="D65" s="92">
        <f>D64-D66</f>
        <v>2419</v>
      </c>
      <c r="E65" s="92">
        <f t="shared" ref="E65:O65" si="24">E64-E66</f>
        <v>2627</v>
      </c>
      <c r="F65" s="92">
        <f t="shared" si="24"/>
        <v>2542</v>
      </c>
      <c r="G65" s="92">
        <f t="shared" si="24"/>
        <v>2806</v>
      </c>
      <c r="H65" s="92">
        <f t="shared" si="24"/>
        <v>2319</v>
      </c>
      <c r="I65" s="92">
        <f t="shared" si="24"/>
        <v>2575</v>
      </c>
      <c r="J65" s="92">
        <f t="shared" si="24"/>
        <v>2836</v>
      </c>
      <c r="K65" s="92">
        <f t="shared" si="24"/>
        <v>2524</v>
      </c>
      <c r="L65" s="92">
        <f t="shared" si="24"/>
        <v>2728</v>
      </c>
      <c r="M65" s="92">
        <f t="shared" si="24"/>
        <v>1481</v>
      </c>
      <c r="N65" s="92">
        <f t="shared" si="24"/>
        <v>0</v>
      </c>
      <c r="O65" s="92">
        <f t="shared" si="24"/>
        <v>0</v>
      </c>
      <c r="P65" s="93">
        <f t="shared" si="21"/>
        <v>24857</v>
      </c>
    </row>
    <row r="66" spans="2:18" s="14" customFormat="1" ht="15" customHeight="1" x14ac:dyDescent="0.25">
      <c r="B66" s="95"/>
      <c r="C66" s="184" t="s">
        <v>73</v>
      </c>
      <c r="D66" s="92">
        <v>0</v>
      </c>
      <c r="E66" s="92">
        <v>654</v>
      </c>
      <c r="F66" s="92">
        <v>877</v>
      </c>
      <c r="G66" s="92">
        <v>497</v>
      </c>
      <c r="H66" s="92">
        <v>310</v>
      </c>
      <c r="I66" s="92">
        <v>255</v>
      </c>
      <c r="J66" s="92">
        <v>684</v>
      </c>
      <c r="K66" s="92">
        <v>644</v>
      </c>
      <c r="L66" s="92">
        <v>500</v>
      </c>
      <c r="M66" s="92">
        <v>333</v>
      </c>
      <c r="N66" s="92"/>
      <c r="O66" s="92"/>
      <c r="P66" s="93">
        <f t="shared" si="21"/>
        <v>4754</v>
      </c>
    </row>
    <row r="67" spans="2:18" s="14" customFormat="1" ht="13.2" x14ac:dyDescent="0.25"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spans="2:18" s="14" customFormat="1" ht="13.2" x14ac:dyDescent="0.25"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2:18" s="14" customFormat="1" ht="15" customHeight="1" thickBot="1" x14ac:dyDescent="0.3">
      <c r="B69" s="83" t="s">
        <v>96</v>
      </c>
      <c r="C69" s="83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5"/>
    </row>
    <row r="70" spans="2:18" s="14" customFormat="1" ht="15" customHeight="1" thickBot="1" x14ac:dyDescent="0.3">
      <c r="B70" s="111"/>
      <c r="C70" s="112" t="s">
        <v>79</v>
      </c>
      <c r="D70" s="113">
        <v>1</v>
      </c>
      <c r="E70" s="114">
        <v>2</v>
      </c>
      <c r="F70" s="114">
        <v>3</v>
      </c>
      <c r="G70" s="114">
        <v>4</v>
      </c>
      <c r="H70" s="114">
        <v>5</v>
      </c>
      <c r="I70" s="114">
        <v>6</v>
      </c>
      <c r="J70" s="114">
        <v>7</v>
      </c>
      <c r="K70" s="114">
        <v>8</v>
      </c>
      <c r="L70" s="114">
        <v>9</v>
      </c>
      <c r="M70" s="114">
        <v>10</v>
      </c>
      <c r="N70" s="114">
        <v>11</v>
      </c>
      <c r="O70" s="114">
        <v>12</v>
      </c>
      <c r="P70" s="115" t="s">
        <v>9</v>
      </c>
    </row>
    <row r="71" spans="2:18" s="14" customFormat="1" ht="15" customHeight="1" x14ac:dyDescent="0.25">
      <c r="B71" s="379" t="s">
        <v>24</v>
      </c>
      <c r="C71" s="181" t="s">
        <v>17</v>
      </c>
      <c r="D71" s="116">
        <v>1214</v>
      </c>
      <c r="E71" s="117">
        <v>1140</v>
      </c>
      <c r="F71" s="116">
        <v>1416</v>
      </c>
      <c r="G71" s="117">
        <v>1421</v>
      </c>
      <c r="H71" s="117">
        <v>907</v>
      </c>
      <c r="I71" s="117">
        <v>985</v>
      </c>
      <c r="J71" s="117">
        <v>1335</v>
      </c>
      <c r="K71" s="117">
        <v>910</v>
      </c>
      <c r="L71" s="117">
        <v>968</v>
      </c>
      <c r="M71" s="117">
        <v>1464</v>
      </c>
      <c r="N71" s="117">
        <v>1467</v>
      </c>
      <c r="O71" s="117">
        <v>2608</v>
      </c>
      <c r="P71" s="118">
        <f t="shared" ref="P71:P77" si="25">SUM(D71:O71)</f>
        <v>15835</v>
      </c>
    </row>
    <row r="72" spans="2:18" s="14" customFormat="1" ht="15" customHeight="1" x14ac:dyDescent="0.25">
      <c r="B72" s="380"/>
      <c r="C72" s="181" t="s">
        <v>18</v>
      </c>
      <c r="D72" s="116">
        <v>4130</v>
      </c>
      <c r="E72" s="117">
        <v>3972</v>
      </c>
      <c r="F72" s="116">
        <v>4692</v>
      </c>
      <c r="G72" s="117">
        <v>4460</v>
      </c>
      <c r="H72" s="117">
        <v>4456</v>
      </c>
      <c r="I72" s="117">
        <v>3574</v>
      </c>
      <c r="J72" s="117">
        <v>4384</v>
      </c>
      <c r="K72" s="117">
        <v>3710</v>
      </c>
      <c r="L72" s="117">
        <v>3363</v>
      </c>
      <c r="M72" s="117">
        <v>3278</v>
      </c>
      <c r="N72" s="117">
        <v>4753</v>
      </c>
      <c r="O72" s="117">
        <v>4219</v>
      </c>
      <c r="P72" s="118">
        <f t="shared" si="25"/>
        <v>48991</v>
      </c>
      <c r="R72" s="153"/>
    </row>
    <row r="73" spans="2:18" s="14" customFormat="1" ht="15" customHeight="1" x14ac:dyDescent="0.25">
      <c r="B73" s="380"/>
      <c r="C73" s="181" t="s">
        <v>19</v>
      </c>
      <c r="D73" s="116">
        <v>1419</v>
      </c>
      <c r="E73" s="117">
        <v>1315</v>
      </c>
      <c r="F73" s="116">
        <v>1460</v>
      </c>
      <c r="G73" s="117">
        <v>1336</v>
      </c>
      <c r="H73" s="117">
        <v>995</v>
      </c>
      <c r="I73" s="117">
        <v>1341</v>
      </c>
      <c r="J73" s="117">
        <v>1373</v>
      </c>
      <c r="K73" s="117">
        <v>588</v>
      </c>
      <c r="L73" s="117">
        <v>4</v>
      </c>
      <c r="M73" s="117">
        <v>0</v>
      </c>
      <c r="N73" s="117">
        <v>0</v>
      </c>
      <c r="O73" s="117">
        <v>0</v>
      </c>
      <c r="P73" s="118">
        <f t="shared" si="25"/>
        <v>9831</v>
      </c>
      <c r="R73" s="153"/>
    </row>
    <row r="74" spans="2:18" s="14" customFormat="1" ht="15" customHeight="1" x14ac:dyDescent="0.25">
      <c r="B74" s="380"/>
      <c r="C74" s="181" t="s">
        <v>21</v>
      </c>
      <c r="D74" s="116">
        <v>3336</v>
      </c>
      <c r="E74" s="117">
        <v>2970</v>
      </c>
      <c r="F74" s="116">
        <v>3577</v>
      </c>
      <c r="G74" s="117">
        <v>3168</v>
      </c>
      <c r="H74" s="117">
        <v>2405</v>
      </c>
      <c r="I74" s="117">
        <v>2932</v>
      </c>
      <c r="J74" s="117">
        <v>2702</v>
      </c>
      <c r="K74" s="117">
        <v>2690</v>
      </c>
      <c r="L74" s="117">
        <v>2277</v>
      </c>
      <c r="M74" s="117">
        <v>3030</v>
      </c>
      <c r="N74" s="117">
        <v>2645</v>
      </c>
      <c r="O74" s="117">
        <v>2105</v>
      </c>
      <c r="P74" s="118">
        <f t="shared" si="25"/>
        <v>33837</v>
      </c>
      <c r="R74" s="153"/>
    </row>
    <row r="75" spans="2:18" s="14" customFormat="1" ht="15" customHeight="1" x14ac:dyDescent="0.25">
      <c r="B75" s="380"/>
      <c r="C75" s="181" t="s">
        <v>22</v>
      </c>
      <c r="D75" s="116">
        <v>2917</v>
      </c>
      <c r="E75" s="117">
        <v>2165</v>
      </c>
      <c r="F75" s="116">
        <v>2016</v>
      </c>
      <c r="G75" s="117">
        <v>1988</v>
      </c>
      <c r="H75" s="117">
        <v>1873</v>
      </c>
      <c r="I75" s="117">
        <v>1519</v>
      </c>
      <c r="J75" s="117">
        <v>1154</v>
      </c>
      <c r="K75" s="117">
        <v>2711</v>
      </c>
      <c r="L75" s="117">
        <v>4724</v>
      </c>
      <c r="M75" s="117">
        <v>4977</v>
      </c>
      <c r="N75" s="117">
        <v>4336</v>
      </c>
      <c r="O75" s="117">
        <v>2354</v>
      </c>
      <c r="P75" s="118">
        <f t="shared" si="25"/>
        <v>32734</v>
      </c>
      <c r="R75" s="153"/>
    </row>
    <row r="76" spans="2:18" s="14" customFormat="1" ht="15" hidden="1" customHeight="1" x14ac:dyDescent="0.25">
      <c r="B76" s="380"/>
      <c r="C76" s="181" t="s">
        <v>97</v>
      </c>
      <c r="D76" s="116">
        <v>0</v>
      </c>
      <c r="E76" s="117"/>
      <c r="F76" s="116"/>
      <c r="G76" s="117"/>
      <c r="H76" s="117"/>
      <c r="I76" s="117"/>
      <c r="J76" s="117"/>
      <c r="K76" s="117"/>
      <c r="L76" s="117"/>
      <c r="M76" s="117"/>
      <c r="N76" s="117"/>
      <c r="O76" s="117"/>
      <c r="P76" s="118">
        <f t="shared" si="25"/>
        <v>0</v>
      </c>
      <c r="R76" s="153"/>
    </row>
    <row r="77" spans="2:18" s="14" customFormat="1" ht="15" customHeight="1" x14ac:dyDescent="0.25">
      <c r="B77" s="380"/>
      <c r="C77" s="181" t="s">
        <v>23</v>
      </c>
      <c r="D77" s="119">
        <v>175</v>
      </c>
      <c r="E77" s="120">
        <v>191</v>
      </c>
      <c r="F77" s="116">
        <v>140</v>
      </c>
      <c r="G77" s="120">
        <v>253</v>
      </c>
      <c r="H77" s="120">
        <v>282</v>
      </c>
      <c r="I77" s="120">
        <v>160</v>
      </c>
      <c r="J77" s="120">
        <v>202</v>
      </c>
      <c r="K77" s="120">
        <v>177</v>
      </c>
      <c r="L77" s="120">
        <v>163</v>
      </c>
      <c r="M77" s="120">
        <v>127</v>
      </c>
      <c r="N77" s="120">
        <v>99</v>
      </c>
      <c r="O77" s="120">
        <v>240</v>
      </c>
      <c r="P77" s="118">
        <f t="shared" si="25"/>
        <v>2209</v>
      </c>
      <c r="R77" s="153"/>
    </row>
    <row r="78" spans="2:18" s="14" customFormat="1" ht="15" customHeight="1" x14ac:dyDescent="0.25">
      <c r="B78" s="381"/>
      <c r="C78" s="180" t="s">
        <v>9</v>
      </c>
      <c r="D78" s="293">
        <f t="shared" ref="D78:P78" si="26">SUM(D71:D77)</f>
        <v>13191</v>
      </c>
      <c r="E78" s="293">
        <f t="shared" si="26"/>
        <v>11753</v>
      </c>
      <c r="F78" s="293">
        <f t="shared" si="26"/>
        <v>13301</v>
      </c>
      <c r="G78" s="293">
        <f t="shared" si="26"/>
        <v>12626</v>
      </c>
      <c r="H78" s="293">
        <f t="shared" si="26"/>
        <v>10918</v>
      </c>
      <c r="I78" s="293">
        <f t="shared" si="26"/>
        <v>10511</v>
      </c>
      <c r="J78" s="293">
        <f t="shared" si="26"/>
        <v>11150</v>
      </c>
      <c r="K78" s="293">
        <f t="shared" si="26"/>
        <v>10786</v>
      </c>
      <c r="L78" s="293">
        <f t="shared" si="26"/>
        <v>11499</v>
      </c>
      <c r="M78" s="293">
        <f t="shared" si="26"/>
        <v>12876</v>
      </c>
      <c r="N78" s="293">
        <f t="shared" si="26"/>
        <v>13300</v>
      </c>
      <c r="O78" s="293">
        <f t="shared" si="26"/>
        <v>11526</v>
      </c>
      <c r="P78" s="294">
        <f t="shared" si="26"/>
        <v>143437</v>
      </c>
    </row>
    <row r="79" spans="2:18" s="14" customFormat="1" ht="15" customHeight="1" x14ac:dyDescent="0.25">
      <c r="B79" s="382" t="s">
        <v>36</v>
      </c>
      <c r="C79" s="181" t="s">
        <v>25</v>
      </c>
      <c r="D79" s="116">
        <v>1241</v>
      </c>
      <c r="E79" s="117">
        <v>940</v>
      </c>
      <c r="F79" s="116">
        <v>1137</v>
      </c>
      <c r="G79" s="117">
        <v>1938</v>
      </c>
      <c r="H79" s="117">
        <v>1776</v>
      </c>
      <c r="I79" s="117">
        <v>1398</v>
      </c>
      <c r="J79" s="117">
        <v>1213</v>
      </c>
      <c r="K79" s="117">
        <v>1152</v>
      </c>
      <c r="L79" s="117">
        <v>873</v>
      </c>
      <c r="M79" s="117">
        <v>961</v>
      </c>
      <c r="N79" s="117">
        <v>1163</v>
      </c>
      <c r="O79" s="117">
        <v>1186</v>
      </c>
      <c r="P79" s="121">
        <f t="shared" ref="P79:P87" si="27">SUM(D79:O79)</f>
        <v>14978</v>
      </c>
    </row>
    <row r="80" spans="2:18" s="14" customFormat="1" ht="15" customHeight="1" x14ac:dyDescent="0.25">
      <c r="B80" s="383"/>
      <c r="C80" s="181" t="s">
        <v>26</v>
      </c>
      <c r="D80" s="116"/>
      <c r="E80" s="117"/>
      <c r="F80" s="116"/>
      <c r="G80" s="117"/>
      <c r="H80" s="117"/>
      <c r="I80" s="117"/>
      <c r="J80" s="117">
        <v>1975</v>
      </c>
      <c r="K80" s="117">
        <v>4002</v>
      </c>
      <c r="L80" s="117">
        <v>2022</v>
      </c>
      <c r="M80" s="117">
        <v>2107</v>
      </c>
      <c r="N80" s="117">
        <v>2284</v>
      </c>
      <c r="O80" s="117">
        <v>461</v>
      </c>
      <c r="P80" s="121">
        <f t="shared" si="27"/>
        <v>12851</v>
      </c>
    </row>
    <row r="81" spans="2:16" s="14" customFormat="1" ht="15" customHeight="1" x14ac:dyDescent="0.25">
      <c r="B81" s="383"/>
      <c r="C81" s="181" t="s">
        <v>28</v>
      </c>
      <c r="D81" s="116">
        <v>29</v>
      </c>
      <c r="E81" s="117">
        <v>155</v>
      </c>
      <c r="F81" s="116">
        <v>1275</v>
      </c>
      <c r="G81" s="117">
        <v>1036</v>
      </c>
      <c r="H81" s="117">
        <v>1380</v>
      </c>
      <c r="I81" s="117">
        <v>1430</v>
      </c>
      <c r="J81" s="117">
        <v>1344</v>
      </c>
      <c r="K81" s="117">
        <v>599</v>
      </c>
      <c r="L81" s="117">
        <v>324</v>
      </c>
      <c r="M81" s="117">
        <v>557</v>
      </c>
      <c r="N81" s="117">
        <v>770</v>
      </c>
      <c r="O81" s="117">
        <v>155</v>
      </c>
      <c r="P81" s="121">
        <f t="shared" si="27"/>
        <v>9054</v>
      </c>
    </row>
    <row r="82" spans="2:16" s="14" customFormat="1" ht="15" customHeight="1" x14ac:dyDescent="0.25">
      <c r="B82" s="383"/>
      <c r="C82" s="181" t="s">
        <v>29</v>
      </c>
      <c r="D82" s="116">
        <v>449</v>
      </c>
      <c r="E82" s="117">
        <v>124</v>
      </c>
      <c r="F82" s="116">
        <v>183</v>
      </c>
      <c r="G82" s="117">
        <v>174</v>
      </c>
      <c r="H82" s="117">
        <v>182</v>
      </c>
      <c r="I82" s="117">
        <v>113</v>
      </c>
      <c r="J82" s="117">
        <v>161</v>
      </c>
      <c r="K82" s="117">
        <v>92</v>
      </c>
      <c r="L82" s="117">
        <v>122</v>
      </c>
      <c r="M82" s="117">
        <v>159</v>
      </c>
      <c r="N82" s="117">
        <v>144</v>
      </c>
      <c r="O82" s="117">
        <v>109</v>
      </c>
      <c r="P82" s="121">
        <f t="shared" si="27"/>
        <v>2012</v>
      </c>
    </row>
    <row r="83" spans="2:16" s="14" customFormat="1" ht="15" customHeight="1" x14ac:dyDescent="0.25">
      <c r="B83" s="383"/>
      <c r="C83" s="181" t="s">
        <v>30</v>
      </c>
      <c r="D83" s="116">
        <v>3944</v>
      </c>
      <c r="E83" s="117">
        <v>3967</v>
      </c>
      <c r="F83" s="116">
        <v>4748</v>
      </c>
      <c r="G83" s="117">
        <v>5025</v>
      </c>
      <c r="H83" s="117">
        <v>6120</v>
      </c>
      <c r="I83" s="117">
        <v>5399</v>
      </c>
      <c r="J83" s="117">
        <v>5489</v>
      </c>
      <c r="K83" s="117">
        <v>5551</v>
      </c>
      <c r="L83" s="117">
        <v>4433</v>
      </c>
      <c r="M83" s="117">
        <v>6822</v>
      </c>
      <c r="N83" s="117">
        <v>4887</v>
      </c>
      <c r="O83" s="117">
        <v>5512</v>
      </c>
      <c r="P83" s="121">
        <f t="shared" si="27"/>
        <v>61897</v>
      </c>
    </row>
    <row r="84" spans="2:16" s="14" customFormat="1" ht="15" customHeight="1" x14ac:dyDescent="0.25">
      <c r="B84" s="383"/>
      <c r="C84" s="181" t="s">
        <v>31</v>
      </c>
      <c r="D84" s="116">
        <v>5934</v>
      </c>
      <c r="E84" s="117">
        <v>6991</v>
      </c>
      <c r="F84" s="116">
        <v>6736</v>
      </c>
      <c r="G84" s="117">
        <v>7179</v>
      </c>
      <c r="H84" s="117">
        <v>6644</v>
      </c>
      <c r="I84" s="117">
        <v>5815</v>
      </c>
      <c r="J84" s="117">
        <v>6235</v>
      </c>
      <c r="K84" s="117">
        <v>5988</v>
      </c>
      <c r="L84" s="117">
        <v>4541</v>
      </c>
      <c r="M84" s="117">
        <v>5531</v>
      </c>
      <c r="N84" s="117">
        <v>4233</v>
      </c>
      <c r="O84" s="117">
        <v>8428</v>
      </c>
      <c r="P84" s="121">
        <f t="shared" si="27"/>
        <v>74255</v>
      </c>
    </row>
    <row r="85" spans="2:16" s="14" customFormat="1" ht="15" customHeight="1" x14ac:dyDescent="0.25">
      <c r="B85" s="383"/>
      <c r="C85" s="181" t="s">
        <v>32</v>
      </c>
      <c r="D85" s="116">
        <v>9284</v>
      </c>
      <c r="E85" s="117">
        <v>8671</v>
      </c>
      <c r="F85" s="116">
        <v>8974</v>
      </c>
      <c r="G85" s="117">
        <v>7865</v>
      </c>
      <c r="H85" s="117">
        <v>7487</v>
      </c>
      <c r="I85" s="117">
        <v>7307</v>
      </c>
      <c r="J85" s="117">
        <v>7596</v>
      </c>
      <c r="K85" s="117">
        <v>3502</v>
      </c>
      <c r="L85" s="117">
        <v>6628</v>
      </c>
      <c r="M85" s="117">
        <v>7962</v>
      </c>
      <c r="N85" s="117">
        <v>10434</v>
      </c>
      <c r="O85" s="117">
        <v>8828</v>
      </c>
      <c r="P85" s="121">
        <f t="shared" si="27"/>
        <v>94538</v>
      </c>
    </row>
    <row r="86" spans="2:16" s="14" customFormat="1" ht="15" customHeight="1" x14ac:dyDescent="0.25">
      <c r="B86" s="383"/>
      <c r="C86" s="181" t="s">
        <v>33</v>
      </c>
      <c r="D86" s="116">
        <v>291</v>
      </c>
      <c r="E86" s="117">
        <v>241</v>
      </c>
      <c r="F86" s="116">
        <v>298</v>
      </c>
      <c r="G86" s="117">
        <v>257</v>
      </c>
      <c r="H86" s="117">
        <v>224</v>
      </c>
      <c r="I86" s="117">
        <v>288</v>
      </c>
      <c r="J86" s="117">
        <v>197</v>
      </c>
      <c r="K86" s="117">
        <v>204</v>
      </c>
      <c r="L86" s="117">
        <v>118</v>
      </c>
      <c r="M86" s="117">
        <v>98</v>
      </c>
      <c r="N86" s="117">
        <v>78</v>
      </c>
      <c r="O86" s="117">
        <v>0</v>
      </c>
      <c r="P86" s="118">
        <f t="shared" si="27"/>
        <v>2294</v>
      </c>
    </row>
    <row r="87" spans="2:16" s="14" customFormat="1" ht="15" customHeight="1" x14ac:dyDescent="0.25">
      <c r="B87" s="383"/>
      <c r="C87" s="181" t="s">
        <v>34</v>
      </c>
      <c r="D87" s="119">
        <v>7049</v>
      </c>
      <c r="E87" s="120">
        <v>7989</v>
      </c>
      <c r="F87" s="116">
        <v>7643</v>
      </c>
      <c r="G87" s="120">
        <v>6879</v>
      </c>
      <c r="H87" s="120">
        <v>7211</v>
      </c>
      <c r="I87" s="120">
        <v>8097</v>
      </c>
      <c r="J87" s="120">
        <v>7050</v>
      </c>
      <c r="K87" s="120">
        <v>5534</v>
      </c>
      <c r="L87" s="120">
        <v>4900</v>
      </c>
      <c r="M87" s="120">
        <v>5645</v>
      </c>
      <c r="N87" s="120">
        <v>7516</v>
      </c>
      <c r="O87" s="120">
        <v>7235</v>
      </c>
      <c r="P87" s="118">
        <f t="shared" si="27"/>
        <v>82748</v>
      </c>
    </row>
    <row r="88" spans="2:16" s="14" customFormat="1" ht="15" customHeight="1" thickBot="1" x14ac:dyDescent="0.3">
      <c r="B88" s="384"/>
      <c r="C88" s="179" t="s">
        <v>9</v>
      </c>
      <c r="D88" s="295">
        <f t="shared" ref="D88:P88" si="28">SUM(D79:D87)</f>
        <v>28221</v>
      </c>
      <c r="E88" s="295">
        <f t="shared" si="28"/>
        <v>29078</v>
      </c>
      <c r="F88" s="296">
        <f t="shared" si="28"/>
        <v>30994</v>
      </c>
      <c r="G88" s="295">
        <f t="shared" si="28"/>
        <v>30353</v>
      </c>
      <c r="H88" s="295">
        <f t="shared" si="28"/>
        <v>31024</v>
      </c>
      <c r="I88" s="295">
        <f t="shared" si="28"/>
        <v>29847</v>
      </c>
      <c r="J88" s="295">
        <f t="shared" si="28"/>
        <v>31260</v>
      </c>
      <c r="K88" s="295">
        <f t="shared" si="28"/>
        <v>26624</v>
      </c>
      <c r="L88" s="295">
        <f t="shared" si="28"/>
        <v>23961</v>
      </c>
      <c r="M88" s="295">
        <f t="shared" si="28"/>
        <v>29842</v>
      </c>
      <c r="N88" s="295">
        <f t="shared" si="28"/>
        <v>31509</v>
      </c>
      <c r="O88" s="295">
        <f t="shared" si="28"/>
        <v>31914</v>
      </c>
      <c r="P88" s="297">
        <f t="shared" si="28"/>
        <v>354627</v>
      </c>
    </row>
    <row r="89" spans="2:16" s="14" customFormat="1" ht="15" customHeight="1" x14ac:dyDescent="0.25">
      <c r="B89" s="379" t="s">
        <v>80</v>
      </c>
      <c r="C89" s="182" t="s">
        <v>38</v>
      </c>
      <c r="D89" s="122">
        <v>3074</v>
      </c>
      <c r="E89" s="123">
        <v>3077</v>
      </c>
      <c r="F89" s="124">
        <v>4584</v>
      </c>
      <c r="G89" s="123">
        <v>4404</v>
      </c>
      <c r="H89" s="123">
        <v>4050</v>
      </c>
      <c r="I89" s="123">
        <v>3523</v>
      </c>
      <c r="J89" s="123">
        <v>3487</v>
      </c>
      <c r="K89" s="123">
        <v>2990</v>
      </c>
      <c r="L89" s="123">
        <v>2586</v>
      </c>
      <c r="M89" s="123">
        <v>3183</v>
      </c>
      <c r="N89" s="123">
        <v>3083</v>
      </c>
      <c r="O89" s="123">
        <v>2498</v>
      </c>
      <c r="P89" s="125">
        <f>SUM(D89:O89)</f>
        <v>40539</v>
      </c>
    </row>
    <row r="90" spans="2:16" s="14" customFormat="1" ht="15" customHeight="1" x14ac:dyDescent="0.25">
      <c r="B90" s="380"/>
      <c r="C90" s="183" t="s">
        <v>39</v>
      </c>
      <c r="D90" s="126">
        <v>122</v>
      </c>
      <c r="E90" s="127">
        <v>100</v>
      </c>
      <c r="F90" s="116">
        <v>127</v>
      </c>
      <c r="G90" s="127">
        <v>122</v>
      </c>
      <c r="H90" s="127">
        <v>118</v>
      </c>
      <c r="I90" s="127">
        <v>122</v>
      </c>
      <c r="J90" s="127">
        <v>113</v>
      </c>
      <c r="K90" s="127">
        <v>110</v>
      </c>
      <c r="L90" s="127">
        <v>94</v>
      </c>
      <c r="M90" s="127">
        <v>124</v>
      </c>
      <c r="N90" s="127">
        <v>123</v>
      </c>
      <c r="O90" s="127">
        <v>132</v>
      </c>
      <c r="P90" s="128">
        <f>SUM(D90:O90)</f>
        <v>1407</v>
      </c>
    </row>
    <row r="91" spans="2:16" s="14" customFormat="1" ht="15" customHeight="1" thickBot="1" x14ac:dyDescent="0.3">
      <c r="B91" s="385"/>
      <c r="C91" s="178" t="s">
        <v>9</v>
      </c>
      <c r="D91" s="298">
        <f t="shared" ref="D91:P91" si="29">SUM(D89:D90)</f>
        <v>3196</v>
      </c>
      <c r="E91" s="298">
        <f t="shared" si="29"/>
        <v>3177</v>
      </c>
      <c r="F91" s="298">
        <f t="shared" si="29"/>
        <v>4711</v>
      </c>
      <c r="G91" s="298">
        <f t="shared" si="29"/>
        <v>4526</v>
      </c>
      <c r="H91" s="298">
        <f t="shared" si="29"/>
        <v>4168</v>
      </c>
      <c r="I91" s="298">
        <f t="shared" si="29"/>
        <v>3645</v>
      </c>
      <c r="J91" s="298">
        <f t="shared" si="29"/>
        <v>3600</v>
      </c>
      <c r="K91" s="298">
        <f t="shared" si="29"/>
        <v>3100</v>
      </c>
      <c r="L91" s="298">
        <f t="shared" si="29"/>
        <v>2680</v>
      </c>
      <c r="M91" s="298">
        <f t="shared" si="29"/>
        <v>3307</v>
      </c>
      <c r="N91" s="298">
        <f t="shared" si="29"/>
        <v>3206</v>
      </c>
      <c r="O91" s="298">
        <f t="shared" si="29"/>
        <v>2630</v>
      </c>
      <c r="P91" s="299">
        <f t="shared" si="29"/>
        <v>41946</v>
      </c>
    </row>
    <row r="92" spans="2:16" s="14" customFormat="1" ht="15" customHeight="1" thickBot="1" x14ac:dyDescent="0.3">
      <c r="B92" s="377" t="s">
        <v>81</v>
      </c>
      <c r="C92" s="378"/>
      <c r="D92" s="300">
        <f>D78+D88+D91</f>
        <v>44608</v>
      </c>
      <c r="E92" s="300">
        <f t="shared" ref="E92:P92" si="30">E78+E88+E91</f>
        <v>44008</v>
      </c>
      <c r="F92" s="300">
        <f t="shared" si="30"/>
        <v>49006</v>
      </c>
      <c r="G92" s="300">
        <f t="shared" si="30"/>
        <v>47505</v>
      </c>
      <c r="H92" s="300">
        <f t="shared" si="30"/>
        <v>46110</v>
      </c>
      <c r="I92" s="300">
        <f t="shared" si="30"/>
        <v>44003</v>
      </c>
      <c r="J92" s="300">
        <f t="shared" si="30"/>
        <v>46010</v>
      </c>
      <c r="K92" s="300">
        <f t="shared" si="30"/>
        <v>40510</v>
      </c>
      <c r="L92" s="300">
        <f t="shared" si="30"/>
        <v>38140</v>
      </c>
      <c r="M92" s="300">
        <f t="shared" si="30"/>
        <v>46025</v>
      </c>
      <c r="N92" s="300">
        <f t="shared" si="30"/>
        <v>48015</v>
      </c>
      <c r="O92" s="300">
        <f t="shared" si="30"/>
        <v>46070</v>
      </c>
      <c r="P92" s="301">
        <f t="shared" si="30"/>
        <v>540010</v>
      </c>
    </row>
    <row r="93" spans="2:16" s="14" customFormat="1" ht="15" customHeight="1" x14ac:dyDescent="0.25">
      <c r="B93" s="379" t="s">
        <v>82</v>
      </c>
      <c r="C93" s="182" t="s">
        <v>42</v>
      </c>
      <c r="D93" s="122"/>
      <c r="E93" s="123"/>
      <c r="F93" s="124"/>
      <c r="G93" s="123"/>
      <c r="H93" s="123"/>
      <c r="I93" s="123"/>
      <c r="J93" s="123"/>
      <c r="K93" s="123"/>
      <c r="L93" s="123"/>
      <c r="M93" s="123"/>
      <c r="N93" s="123"/>
      <c r="O93" s="123"/>
      <c r="P93" s="125">
        <f>SUM(D93:O93)</f>
        <v>0</v>
      </c>
    </row>
    <row r="94" spans="2:16" s="14" customFormat="1" ht="15" customHeight="1" x14ac:dyDescent="0.25">
      <c r="B94" s="380"/>
      <c r="C94" s="183" t="s">
        <v>43</v>
      </c>
      <c r="D94" s="126">
        <v>75</v>
      </c>
      <c r="E94" s="127">
        <v>68</v>
      </c>
      <c r="F94" s="116">
        <v>106</v>
      </c>
      <c r="G94" s="127">
        <v>126</v>
      </c>
      <c r="H94" s="127">
        <v>125</v>
      </c>
      <c r="I94" s="127">
        <v>281</v>
      </c>
      <c r="J94" s="127">
        <v>228</v>
      </c>
      <c r="K94" s="127">
        <v>174</v>
      </c>
      <c r="L94" s="127">
        <v>129</v>
      </c>
      <c r="M94" s="127">
        <v>385</v>
      </c>
      <c r="N94" s="127">
        <v>177</v>
      </c>
      <c r="O94" s="127">
        <v>262</v>
      </c>
      <c r="P94" s="128">
        <f>SUM(D94:O94)</f>
        <v>2136</v>
      </c>
    </row>
    <row r="95" spans="2:16" s="14" customFormat="1" ht="15" customHeight="1" thickBot="1" x14ac:dyDescent="0.3">
      <c r="B95" s="385"/>
      <c r="C95" s="178" t="s">
        <v>9</v>
      </c>
      <c r="D95" s="302">
        <f>SUM(D93:D94)</f>
        <v>75</v>
      </c>
      <c r="E95" s="302">
        <f t="shared" ref="E95:P95" si="31">SUM(E93:E94)</f>
        <v>68</v>
      </c>
      <c r="F95" s="302">
        <f t="shared" si="31"/>
        <v>106</v>
      </c>
      <c r="G95" s="302">
        <f t="shared" si="31"/>
        <v>126</v>
      </c>
      <c r="H95" s="302">
        <f t="shared" si="31"/>
        <v>125</v>
      </c>
      <c r="I95" s="302">
        <f t="shared" si="31"/>
        <v>281</v>
      </c>
      <c r="J95" s="302">
        <f t="shared" si="31"/>
        <v>228</v>
      </c>
      <c r="K95" s="302">
        <f t="shared" si="31"/>
        <v>174</v>
      </c>
      <c r="L95" s="302">
        <f t="shared" si="31"/>
        <v>129</v>
      </c>
      <c r="M95" s="302">
        <f t="shared" si="31"/>
        <v>385</v>
      </c>
      <c r="N95" s="302">
        <f t="shared" si="31"/>
        <v>177</v>
      </c>
      <c r="O95" s="302">
        <f t="shared" si="31"/>
        <v>262</v>
      </c>
      <c r="P95" s="303">
        <f t="shared" si="31"/>
        <v>2136</v>
      </c>
    </row>
    <row r="96" spans="2:16" s="14" customFormat="1" ht="15" customHeight="1" thickBot="1" x14ac:dyDescent="0.3">
      <c r="B96" s="377" t="s">
        <v>83</v>
      </c>
      <c r="C96" s="378"/>
      <c r="D96" s="300">
        <f t="shared" ref="D96:P96" si="32">D78+D88+D91+D95</f>
        <v>44683</v>
      </c>
      <c r="E96" s="300">
        <f t="shared" si="32"/>
        <v>44076</v>
      </c>
      <c r="F96" s="300">
        <f t="shared" si="32"/>
        <v>49112</v>
      </c>
      <c r="G96" s="300">
        <f t="shared" si="32"/>
        <v>47631</v>
      </c>
      <c r="H96" s="300">
        <f t="shared" si="32"/>
        <v>46235</v>
      </c>
      <c r="I96" s="300">
        <f t="shared" si="32"/>
        <v>44284</v>
      </c>
      <c r="J96" s="300">
        <f t="shared" si="32"/>
        <v>46238</v>
      </c>
      <c r="K96" s="300">
        <f t="shared" si="32"/>
        <v>40684</v>
      </c>
      <c r="L96" s="300">
        <f t="shared" si="32"/>
        <v>38269</v>
      </c>
      <c r="M96" s="300">
        <f t="shared" si="32"/>
        <v>46410</v>
      </c>
      <c r="N96" s="300">
        <f t="shared" si="32"/>
        <v>48192</v>
      </c>
      <c r="O96" s="300">
        <f t="shared" si="32"/>
        <v>46332</v>
      </c>
      <c r="P96" s="301">
        <f t="shared" si="32"/>
        <v>542146</v>
      </c>
    </row>
    <row r="98" spans="2:16" s="14" customFormat="1" ht="15" customHeight="1" x14ac:dyDescent="0.25">
      <c r="B98" s="88" t="s">
        <v>18</v>
      </c>
      <c r="C98" s="89"/>
      <c r="D98" s="90">
        <f t="shared" ref="D98:P98" si="33">D72</f>
        <v>4130</v>
      </c>
      <c r="E98" s="90">
        <f t="shared" si="33"/>
        <v>3972</v>
      </c>
      <c r="F98" s="90">
        <f t="shared" si="33"/>
        <v>4692</v>
      </c>
      <c r="G98" s="90">
        <f t="shared" si="33"/>
        <v>4460</v>
      </c>
      <c r="H98" s="90">
        <f t="shared" si="33"/>
        <v>4456</v>
      </c>
      <c r="I98" s="90">
        <f t="shared" si="33"/>
        <v>3574</v>
      </c>
      <c r="J98" s="90">
        <f t="shared" si="33"/>
        <v>4384</v>
      </c>
      <c r="K98" s="90">
        <f t="shared" si="33"/>
        <v>3710</v>
      </c>
      <c r="L98" s="90">
        <f t="shared" si="33"/>
        <v>3363</v>
      </c>
      <c r="M98" s="90">
        <f t="shared" si="33"/>
        <v>3278</v>
      </c>
      <c r="N98" s="90">
        <f t="shared" si="33"/>
        <v>4753</v>
      </c>
      <c r="O98" s="90">
        <f t="shared" si="33"/>
        <v>4219</v>
      </c>
      <c r="P98" s="90">
        <f t="shared" si="33"/>
        <v>48991</v>
      </c>
    </row>
    <row r="99" spans="2:16" s="14" customFormat="1" ht="15" customHeight="1" x14ac:dyDescent="0.25">
      <c r="B99" s="94"/>
      <c r="C99" s="184" t="s">
        <v>18</v>
      </c>
      <c r="D99" s="92">
        <f t="shared" ref="D99:O99" si="34">D98-D100</f>
        <v>4020</v>
      </c>
      <c r="E99" s="92">
        <f t="shared" si="34"/>
        <v>3160</v>
      </c>
      <c r="F99" s="92">
        <f t="shared" si="34"/>
        <v>3172</v>
      </c>
      <c r="G99" s="92">
        <f t="shared" si="34"/>
        <v>3244</v>
      </c>
      <c r="H99" s="92">
        <f t="shared" si="34"/>
        <v>3178</v>
      </c>
      <c r="I99" s="92">
        <f t="shared" si="34"/>
        <v>2285</v>
      </c>
      <c r="J99" s="92">
        <f t="shared" si="34"/>
        <v>2977</v>
      </c>
      <c r="K99" s="92">
        <f t="shared" si="34"/>
        <v>2787</v>
      </c>
      <c r="L99" s="92">
        <f t="shared" si="34"/>
        <v>2589</v>
      </c>
      <c r="M99" s="92">
        <f t="shared" si="34"/>
        <v>3036</v>
      </c>
      <c r="N99" s="92">
        <f t="shared" si="34"/>
        <v>4417</v>
      </c>
      <c r="O99" s="92">
        <f t="shared" si="34"/>
        <v>4046</v>
      </c>
      <c r="P99" s="150">
        <f>SUM(D99:O99)</f>
        <v>38911</v>
      </c>
    </row>
    <row r="100" spans="2:16" s="14" customFormat="1" ht="15" customHeight="1" x14ac:dyDescent="0.25">
      <c r="B100" s="95"/>
      <c r="C100" s="184" t="s">
        <v>50</v>
      </c>
      <c r="D100" s="92">
        <v>110</v>
      </c>
      <c r="E100" s="92">
        <v>812</v>
      </c>
      <c r="F100" s="92">
        <v>1520</v>
      </c>
      <c r="G100" s="92">
        <v>1216</v>
      </c>
      <c r="H100" s="92">
        <v>1278</v>
      </c>
      <c r="I100" s="92">
        <v>1289</v>
      </c>
      <c r="J100" s="92">
        <v>1407</v>
      </c>
      <c r="K100" s="92">
        <v>923</v>
      </c>
      <c r="L100" s="92">
        <v>774</v>
      </c>
      <c r="M100" s="92">
        <v>242</v>
      </c>
      <c r="N100" s="92">
        <v>336</v>
      </c>
      <c r="O100" s="92">
        <v>173</v>
      </c>
      <c r="P100" s="150">
        <f>SUM(D100:O100)</f>
        <v>10080</v>
      </c>
    </row>
    <row r="101" spans="2:16" s="14" customFormat="1" ht="15" customHeight="1" x14ac:dyDescent="0.25">
      <c r="B101" s="86"/>
      <c r="C101" s="86"/>
      <c r="D101" s="19"/>
      <c r="E101" s="19"/>
      <c r="F101" s="19"/>
      <c r="G101" s="19"/>
      <c r="H101" s="19"/>
      <c r="I101" s="19"/>
      <c r="J101" s="19"/>
      <c r="K101" s="19"/>
      <c r="L101" s="19"/>
      <c r="M101" s="87"/>
      <c r="N101" s="87"/>
      <c r="O101" s="87"/>
      <c r="P101" s="19"/>
    </row>
    <row r="102" spans="2:16" s="14" customFormat="1" ht="15" customHeight="1" x14ac:dyDescent="0.25">
      <c r="B102" s="88" t="s">
        <v>21</v>
      </c>
      <c r="C102" s="89"/>
      <c r="D102" s="90">
        <f t="shared" ref="D102:P102" si="35">D74</f>
        <v>3336</v>
      </c>
      <c r="E102" s="90">
        <f t="shared" si="35"/>
        <v>2970</v>
      </c>
      <c r="F102" s="90">
        <f t="shared" si="35"/>
        <v>3577</v>
      </c>
      <c r="G102" s="90">
        <f t="shared" si="35"/>
        <v>3168</v>
      </c>
      <c r="H102" s="90">
        <f t="shared" si="35"/>
        <v>2405</v>
      </c>
      <c r="I102" s="90">
        <f t="shared" si="35"/>
        <v>2932</v>
      </c>
      <c r="J102" s="90">
        <f t="shared" si="35"/>
        <v>2702</v>
      </c>
      <c r="K102" s="90">
        <f t="shared" si="35"/>
        <v>2690</v>
      </c>
      <c r="L102" s="90">
        <f t="shared" si="35"/>
        <v>2277</v>
      </c>
      <c r="M102" s="90">
        <f t="shared" si="35"/>
        <v>3030</v>
      </c>
      <c r="N102" s="90">
        <f t="shared" si="35"/>
        <v>2645</v>
      </c>
      <c r="O102" s="90">
        <f t="shared" si="35"/>
        <v>2105</v>
      </c>
      <c r="P102" s="90">
        <f t="shared" si="35"/>
        <v>33837</v>
      </c>
    </row>
    <row r="103" spans="2:16" s="14" customFormat="1" ht="15" customHeight="1" x14ac:dyDescent="0.25">
      <c r="B103" s="94"/>
      <c r="C103" s="184" t="s">
        <v>84</v>
      </c>
      <c r="D103" s="92">
        <f t="shared" ref="D103:O103" si="36">D102-D104</f>
        <v>2204</v>
      </c>
      <c r="E103" s="92">
        <f t="shared" si="36"/>
        <v>1962</v>
      </c>
      <c r="F103" s="92">
        <f t="shared" si="36"/>
        <v>2210</v>
      </c>
      <c r="G103" s="92">
        <f t="shared" si="36"/>
        <v>2189</v>
      </c>
      <c r="H103" s="92">
        <f t="shared" si="36"/>
        <v>1542</v>
      </c>
      <c r="I103" s="92">
        <f t="shared" si="36"/>
        <v>2380</v>
      </c>
      <c r="J103" s="92">
        <f t="shared" si="36"/>
        <v>2148</v>
      </c>
      <c r="K103" s="92">
        <f t="shared" si="36"/>
        <v>2040</v>
      </c>
      <c r="L103" s="92">
        <f t="shared" si="36"/>
        <v>1841</v>
      </c>
      <c r="M103" s="92">
        <f t="shared" si="36"/>
        <v>2361</v>
      </c>
      <c r="N103" s="92">
        <f t="shared" si="36"/>
        <v>1760</v>
      </c>
      <c r="O103" s="92">
        <f t="shared" si="36"/>
        <v>1674</v>
      </c>
      <c r="P103" s="150">
        <f>SUM(D103:O103)</f>
        <v>24311</v>
      </c>
    </row>
    <row r="104" spans="2:16" s="14" customFormat="1" ht="15" customHeight="1" x14ac:dyDescent="0.25">
      <c r="B104" s="95"/>
      <c r="C104" s="184" t="s">
        <v>85</v>
      </c>
      <c r="D104" s="92">
        <v>1132</v>
      </c>
      <c r="E104" s="92">
        <v>1008</v>
      </c>
      <c r="F104" s="92">
        <v>1367</v>
      </c>
      <c r="G104" s="92">
        <v>979</v>
      </c>
      <c r="H104" s="92">
        <v>863</v>
      </c>
      <c r="I104" s="92">
        <v>552</v>
      </c>
      <c r="J104" s="92">
        <v>554</v>
      </c>
      <c r="K104" s="92">
        <v>650</v>
      </c>
      <c r="L104" s="92">
        <v>436</v>
      </c>
      <c r="M104" s="92">
        <v>669</v>
      </c>
      <c r="N104" s="92">
        <v>885</v>
      </c>
      <c r="O104" s="92">
        <v>431</v>
      </c>
      <c r="P104" s="150">
        <f>SUM(D104:O104)</f>
        <v>9526</v>
      </c>
    </row>
    <row r="105" spans="2:16" s="14" customFormat="1" ht="15" customHeight="1" x14ac:dyDescent="0.25">
      <c r="B105" s="96"/>
      <c r="C105" s="85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8"/>
    </row>
    <row r="106" spans="2:16" s="14" customFormat="1" ht="15" customHeight="1" x14ac:dyDescent="0.25">
      <c r="B106" s="88" t="s">
        <v>86</v>
      </c>
      <c r="C106" s="185"/>
      <c r="D106" s="90">
        <f t="shared" ref="D106:P106" si="37">D75</f>
        <v>2917</v>
      </c>
      <c r="E106" s="90">
        <f t="shared" si="37"/>
        <v>2165</v>
      </c>
      <c r="F106" s="90">
        <f t="shared" si="37"/>
        <v>2016</v>
      </c>
      <c r="G106" s="90">
        <f t="shared" si="37"/>
        <v>1988</v>
      </c>
      <c r="H106" s="90">
        <f t="shared" si="37"/>
        <v>1873</v>
      </c>
      <c r="I106" s="90">
        <f t="shared" si="37"/>
        <v>1519</v>
      </c>
      <c r="J106" s="90">
        <f t="shared" si="37"/>
        <v>1154</v>
      </c>
      <c r="K106" s="90">
        <f t="shared" si="37"/>
        <v>2711</v>
      </c>
      <c r="L106" s="90">
        <f t="shared" si="37"/>
        <v>4724</v>
      </c>
      <c r="M106" s="90">
        <f t="shared" si="37"/>
        <v>4977</v>
      </c>
      <c r="N106" s="90">
        <f t="shared" si="37"/>
        <v>4336</v>
      </c>
      <c r="O106" s="90">
        <f t="shared" si="37"/>
        <v>2354</v>
      </c>
      <c r="P106" s="90">
        <f t="shared" si="37"/>
        <v>32734</v>
      </c>
    </row>
    <row r="107" spans="2:16" s="14" customFormat="1" ht="15" customHeight="1" x14ac:dyDescent="0.25">
      <c r="B107" s="91"/>
      <c r="C107" s="184" t="s">
        <v>87</v>
      </c>
      <c r="D107" s="151">
        <f t="shared" ref="D107:O107" si="38">D106-D108</f>
        <v>1355</v>
      </c>
      <c r="E107" s="151">
        <f t="shared" si="38"/>
        <v>1178</v>
      </c>
      <c r="F107" s="151">
        <f t="shared" si="38"/>
        <v>975</v>
      </c>
      <c r="G107" s="151">
        <f t="shared" si="38"/>
        <v>1070</v>
      </c>
      <c r="H107" s="151">
        <f t="shared" si="38"/>
        <v>1015</v>
      </c>
      <c r="I107" s="151">
        <f t="shared" si="38"/>
        <v>823</v>
      </c>
      <c r="J107" s="151">
        <f t="shared" si="38"/>
        <v>511</v>
      </c>
      <c r="K107" s="151">
        <f t="shared" si="38"/>
        <v>1521</v>
      </c>
      <c r="L107" s="151">
        <f t="shared" si="38"/>
        <v>2240</v>
      </c>
      <c r="M107" s="151">
        <f t="shared" si="38"/>
        <v>1625</v>
      </c>
      <c r="N107" s="151">
        <f t="shared" si="38"/>
        <v>978</v>
      </c>
      <c r="O107" s="151">
        <f t="shared" si="38"/>
        <v>771</v>
      </c>
      <c r="P107" s="151">
        <f>SUM(D107:O107)</f>
        <v>14062</v>
      </c>
    </row>
    <row r="108" spans="2:16" s="14" customFormat="1" ht="15" customHeight="1" x14ac:dyDescent="0.25">
      <c r="B108" s="154"/>
      <c r="C108" s="184" t="s">
        <v>88</v>
      </c>
      <c r="D108" s="151">
        <v>1562</v>
      </c>
      <c r="E108" s="151">
        <v>987</v>
      </c>
      <c r="F108" s="151">
        <v>1041</v>
      </c>
      <c r="G108" s="151">
        <v>918</v>
      </c>
      <c r="H108" s="151">
        <v>858</v>
      </c>
      <c r="I108" s="151">
        <v>696</v>
      </c>
      <c r="J108" s="151">
        <v>643</v>
      </c>
      <c r="K108" s="151">
        <v>1190</v>
      </c>
      <c r="L108" s="151">
        <v>2484</v>
      </c>
      <c r="M108" s="151">
        <v>3352</v>
      </c>
      <c r="N108" s="151">
        <v>3358</v>
      </c>
      <c r="O108" s="151">
        <v>1583</v>
      </c>
      <c r="P108" s="151">
        <f>SUM(D108:O108)</f>
        <v>18672</v>
      </c>
    </row>
    <row r="109" spans="2:16" s="14" customFormat="1" ht="15" customHeight="1" x14ac:dyDescent="0.25">
      <c r="B109" s="96"/>
      <c r="C109" s="85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8"/>
    </row>
    <row r="110" spans="2:16" s="14" customFormat="1" ht="15" customHeight="1" x14ac:dyDescent="0.25">
      <c r="B110" s="88" t="s">
        <v>25</v>
      </c>
      <c r="C110" s="89"/>
      <c r="D110" s="90">
        <f t="shared" ref="D110:O110" si="39">D79</f>
        <v>1241</v>
      </c>
      <c r="E110" s="90">
        <f t="shared" si="39"/>
        <v>940</v>
      </c>
      <c r="F110" s="90">
        <f t="shared" si="39"/>
        <v>1137</v>
      </c>
      <c r="G110" s="90">
        <f t="shared" si="39"/>
        <v>1938</v>
      </c>
      <c r="H110" s="90">
        <f t="shared" si="39"/>
        <v>1776</v>
      </c>
      <c r="I110" s="90">
        <f t="shared" si="39"/>
        <v>1398</v>
      </c>
      <c r="J110" s="90">
        <f t="shared" si="39"/>
        <v>1213</v>
      </c>
      <c r="K110" s="90">
        <f t="shared" si="39"/>
        <v>1152</v>
      </c>
      <c r="L110" s="90">
        <f t="shared" si="39"/>
        <v>873</v>
      </c>
      <c r="M110" s="90">
        <f t="shared" si="39"/>
        <v>961</v>
      </c>
      <c r="N110" s="90">
        <f t="shared" si="39"/>
        <v>1163</v>
      </c>
      <c r="O110" s="90">
        <f t="shared" si="39"/>
        <v>1186</v>
      </c>
      <c r="P110" s="90">
        <f>SUM(D110:O110)</f>
        <v>14978</v>
      </c>
    </row>
    <row r="111" spans="2:16" s="14" customFormat="1" ht="15" customHeight="1" x14ac:dyDescent="0.25">
      <c r="B111" s="91"/>
      <c r="C111" s="184" t="s">
        <v>75</v>
      </c>
      <c r="D111" s="92">
        <f t="shared" ref="D111:O111" si="40">D110-D112-D113</f>
        <v>1220</v>
      </c>
      <c r="E111" s="92">
        <f t="shared" si="40"/>
        <v>938</v>
      </c>
      <c r="F111" s="92">
        <f t="shared" si="40"/>
        <v>917</v>
      </c>
      <c r="G111" s="92">
        <f t="shared" si="40"/>
        <v>1597</v>
      </c>
      <c r="H111" s="92">
        <f t="shared" si="40"/>
        <v>1596</v>
      </c>
      <c r="I111" s="92">
        <f t="shared" si="40"/>
        <v>1210</v>
      </c>
      <c r="J111" s="92">
        <f t="shared" si="40"/>
        <v>1049</v>
      </c>
      <c r="K111" s="92">
        <f t="shared" si="40"/>
        <v>1048</v>
      </c>
      <c r="L111" s="92">
        <f t="shared" si="40"/>
        <v>866</v>
      </c>
      <c r="M111" s="92">
        <f t="shared" si="40"/>
        <v>941</v>
      </c>
      <c r="N111" s="92">
        <f t="shared" si="40"/>
        <v>1034</v>
      </c>
      <c r="O111" s="92">
        <f t="shared" si="40"/>
        <v>1174</v>
      </c>
      <c r="P111" s="93">
        <f>SUM(D111:O111)</f>
        <v>13590</v>
      </c>
    </row>
    <row r="112" spans="2:16" s="14" customFormat="1" ht="15" customHeight="1" x14ac:dyDescent="0.25">
      <c r="B112" s="94"/>
      <c r="C112" s="184" t="s">
        <v>76</v>
      </c>
      <c r="D112" s="92">
        <v>19</v>
      </c>
      <c r="E112" s="92">
        <v>2</v>
      </c>
      <c r="F112" s="92">
        <v>134</v>
      </c>
      <c r="G112" s="92">
        <v>218</v>
      </c>
      <c r="H112" s="92">
        <v>113</v>
      </c>
      <c r="I112" s="92">
        <v>123</v>
      </c>
      <c r="J112" s="92">
        <v>150</v>
      </c>
      <c r="K112" s="92">
        <v>61</v>
      </c>
      <c r="L112" s="92">
        <v>4</v>
      </c>
      <c r="M112" s="92">
        <v>17</v>
      </c>
      <c r="N112" s="92">
        <v>128</v>
      </c>
      <c r="O112" s="92">
        <v>11</v>
      </c>
      <c r="P112" s="93">
        <f>SUM(D112:O112)</f>
        <v>980</v>
      </c>
    </row>
    <row r="113" spans="2:16" s="14" customFormat="1" ht="15" customHeight="1" x14ac:dyDescent="0.25">
      <c r="B113" s="95"/>
      <c r="C113" s="184" t="s">
        <v>89</v>
      </c>
      <c r="D113" s="92">
        <v>2</v>
      </c>
      <c r="E113" s="92">
        <v>0</v>
      </c>
      <c r="F113" s="92">
        <v>86</v>
      </c>
      <c r="G113" s="92">
        <v>123</v>
      </c>
      <c r="H113" s="92">
        <v>67</v>
      </c>
      <c r="I113" s="92">
        <v>65</v>
      </c>
      <c r="J113" s="92">
        <v>14</v>
      </c>
      <c r="K113" s="92">
        <v>43</v>
      </c>
      <c r="L113" s="92">
        <v>3</v>
      </c>
      <c r="M113" s="92">
        <v>3</v>
      </c>
      <c r="N113" s="92">
        <v>1</v>
      </c>
      <c r="O113" s="92">
        <v>1</v>
      </c>
      <c r="P113" s="93">
        <f>SUM(D113:O113)</f>
        <v>408</v>
      </c>
    </row>
    <row r="114" spans="2:16" s="14" customFormat="1" ht="15" customHeight="1" x14ac:dyDescent="0.25"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</row>
    <row r="115" spans="2:16" s="14" customFormat="1" ht="15" customHeight="1" x14ac:dyDescent="0.25">
      <c r="B115" s="88" t="s">
        <v>31</v>
      </c>
      <c r="C115" s="89"/>
      <c r="D115" s="90">
        <f t="shared" ref="D115:O115" si="41">D84</f>
        <v>5934</v>
      </c>
      <c r="E115" s="90">
        <f t="shared" si="41"/>
        <v>6991</v>
      </c>
      <c r="F115" s="90">
        <f t="shared" si="41"/>
        <v>6736</v>
      </c>
      <c r="G115" s="90">
        <f t="shared" si="41"/>
        <v>7179</v>
      </c>
      <c r="H115" s="90">
        <f t="shared" si="41"/>
        <v>6644</v>
      </c>
      <c r="I115" s="90">
        <f t="shared" si="41"/>
        <v>5815</v>
      </c>
      <c r="J115" s="90">
        <f t="shared" si="41"/>
        <v>6235</v>
      </c>
      <c r="K115" s="90">
        <f t="shared" si="41"/>
        <v>5988</v>
      </c>
      <c r="L115" s="90">
        <f t="shared" si="41"/>
        <v>4541</v>
      </c>
      <c r="M115" s="90">
        <f t="shared" si="41"/>
        <v>5531</v>
      </c>
      <c r="N115" s="90">
        <f t="shared" si="41"/>
        <v>4233</v>
      </c>
      <c r="O115" s="90">
        <f t="shared" si="41"/>
        <v>8428</v>
      </c>
      <c r="P115" s="90">
        <f>SUM(D115:O115)</f>
        <v>74255</v>
      </c>
    </row>
    <row r="116" spans="2:16" s="14" customFormat="1" ht="15" customHeight="1" x14ac:dyDescent="0.25">
      <c r="B116" s="94"/>
      <c r="C116" s="184" t="s">
        <v>90</v>
      </c>
      <c r="D116" s="92">
        <f>D115-D117</f>
        <v>3430</v>
      </c>
      <c r="E116" s="92">
        <f t="shared" ref="E116:O116" si="42">E115-E117</f>
        <v>4052</v>
      </c>
      <c r="F116" s="92">
        <f t="shared" si="42"/>
        <v>3790</v>
      </c>
      <c r="G116" s="92">
        <f t="shared" si="42"/>
        <v>4125</v>
      </c>
      <c r="H116" s="92">
        <f t="shared" si="42"/>
        <v>3589</v>
      </c>
      <c r="I116" s="92">
        <f t="shared" si="42"/>
        <v>3861</v>
      </c>
      <c r="J116" s="92">
        <f t="shared" si="42"/>
        <v>3900</v>
      </c>
      <c r="K116" s="92">
        <f t="shared" si="42"/>
        <v>2656</v>
      </c>
      <c r="L116" s="92">
        <f t="shared" si="42"/>
        <v>2690</v>
      </c>
      <c r="M116" s="92">
        <f t="shared" si="42"/>
        <v>3348</v>
      </c>
      <c r="N116" s="92">
        <f t="shared" si="42"/>
        <v>2745</v>
      </c>
      <c r="O116" s="92">
        <f t="shared" si="42"/>
        <v>4594</v>
      </c>
      <c r="P116" s="93">
        <f>SUM(D116:O116)</f>
        <v>42780</v>
      </c>
    </row>
    <row r="117" spans="2:16" s="14" customFormat="1" ht="15" customHeight="1" x14ac:dyDescent="0.25">
      <c r="B117" s="95"/>
      <c r="C117" s="184" t="s">
        <v>91</v>
      </c>
      <c r="D117" s="92">
        <v>2504</v>
      </c>
      <c r="E117" s="92">
        <v>2939</v>
      </c>
      <c r="F117" s="92">
        <v>2946</v>
      </c>
      <c r="G117" s="92">
        <v>3054</v>
      </c>
      <c r="H117" s="92">
        <v>3055</v>
      </c>
      <c r="I117" s="92">
        <v>1954</v>
      </c>
      <c r="J117" s="92">
        <v>2335</v>
      </c>
      <c r="K117" s="92">
        <v>3332</v>
      </c>
      <c r="L117" s="92">
        <v>1851</v>
      </c>
      <c r="M117" s="92">
        <v>2183</v>
      </c>
      <c r="N117" s="92">
        <v>1488</v>
      </c>
      <c r="O117" s="92">
        <v>3834</v>
      </c>
      <c r="P117" s="93">
        <f>SUM(D117:O117)</f>
        <v>31475</v>
      </c>
    </row>
    <row r="118" spans="2:16" s="14" customFormat="1" ht="15" customHeight="1" x14ac:dyDescent="0.25">
      <c r="B118" s="85"/>
      <c r="C118" s="85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8"/>
    </row>
    <row r="119" spans="2:16" s="14" customFormat="1" ht="15" customHeight="1" x14ac:dyDescent="0.25">
      <c r="B119" s="88" t="s">
        <v>32</v>
      </c>
      <c r="C119" s="89"/>
      <c r="D119" s="90">
        <f t="shared" ref="D119:O119" si="43">D85</f>
        <v>9284</v>
      </c>
      <c r="E119" s="90">
        <f t="shared" si="43"/>
        <v>8671</v>
      </c>
      <c r="F119" s="90">
        <f t="shared" si="43"/>
        <v>8974</v>
      </c>
      <c r="G119" s="90">
        <f t="shared" si="43"/>
        <v>7865</v>
      </c>
      <c r="H119" s="90">
        <f t="shared" si="43"/>
        <v>7487</v>
      </c>
      <c r="I119" s="90">
        <f t="shared" si="43"/>
        <v>7307</v>
      </c>
      <c r="J119" s="90">
        <f t="shared" si="43"/>
        <v>7596</v>
      </c>
      <c r="K119" s="90">
        <f t="shared" si="43"/>
        <v>3502</v>
      </c>
      <c r="L119" s="90">
        <f t="shared" si="43"/>
        <v>6628</v>
      </c>
      <c r="M119" s="90">
        <f t="shared" si="43"/>
        <v>7962</v>
      </c>
      <c r="N119" s="90">
        <f t="shared" si="43"/>
        <v>10434</v>
      </c>
      <c r="O119" s="90">
        <f t="shared" si="43"/>
        <v>8828</v>
      </c>
      <c r="P119" s="90">
        <f>SUM(D119:O119)</f>
        <v>94538</v>
      </c>
    </row>
    <row r="120" spans="2:16" s="14" customFormat="1" ht="15" customHeight="1" x14ac:dyDescent="0.25">
      <c r="B120" s="91"/>
      <c r="C120" s="184" t="s">
        <v>92</v>
      </c>
      <c r="D120" s="92">
        <f>D119-D121</f>
        <v>2325</v>
      </c>
      <c r="E120" s="92">
        <f t="shared" ref="E120:O120" si="44">E119-E121</f>
        <v>2374</v>
      </c>
      <c r="F120" s="92">
        <f t="shared" si="44"/>
        <v>2501</v>
      </c>
      <c r="G120" s="92">
        <f t="shared" si="44"/>
        <v>2696</v>
      </c>
      <c r="H120" s="92">
        <f t="shared" si="44"/>
        <v>2034</v>
      </c>
      <c r="I120" s="92">
        <f t="shared" si="44"/>
        <v>2298</v>
      </c>
      <c r="J120" s="92">
        <f t="shared" si="44"/>
        <v>2185</v>
      </c>
      <c r="K120" s="92">
        <f t="shared" si="44"/>
        <v>931</v>
      </c>
      <c r="L120" s="92">
        <f t="shared" si="44"/>
        <v>1715</v>
      </c>
      <c r="M120" s="92">
        <f t="shared" si="44"/>
        <v>2330</v>
      </c>
      <c r="N120" s="92">
        <f t="shared" si="44"/>
        <v>3242</v>
      </c>
      <c r="O120" s="92">
        <f t="shared" si="44"/>
        <v>2033</v>
      </c>
      <c r="P120" s="93">
        <f>SUM(D120:O120)</f>
        <v>26664</v>
      </c>
    </row>
    <row r="121" spans="2:16" s="14" customFormat="1" ht="15" customHeight="1" x14ac:dyDescent="0.25">
      <c r="B121" s="95"/>
      <c r="C121" s="184" t="s">
        <v>93</v>
      </c>
      <c r="D121" s="92">
        <v>6959</v>
      </c>
      <c r="E121" s="92">
        <v>6297</v>
      </c>
      <c r="F121" s="92">
        <v>6473</v>
      </c>
      <c r="G121" s="92">
        <v>5169</v>
      </c>
      <c r="H121" s="92">
        <v>5453</v>
      </c>
      <c r="I121" s="92">
        <v>5009</v>
      </c>
      <c r="J121" s="92">
        <v>5411</v>
      </c>
      <c r="K121" s="92">
        <v>2571</v>
      </c>
      <c r="L121" s="92">
        <v>4913</v>
      </c>
      <c r="M121" s="92">
        <v>5632</v>
      </c>
      <c r="N121" s="92">
        <v>7192</v>
      </c>
      <c r="O121" s="92">
        <v>6795</v>
      </c>
      <c r="P121" s="93">
        <f>SUM(D121:O121)</f>
        <v>67874</v>
      </c>
    </row>
    <row r="122" spans="2:16" s="14" customFormat="1" ht="15" customHeight="1" x14ac:dyDescent="0.25">
      <c r="B122" s="85"/>
      <c r="C122" s="245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8"/>
    </row>
    <row r="123" spans="2:16" s="14" customFormat="1" ht="15" customHeight="1" x14ac:dyDescent="0.25">
      <c r="B123" s="88" t="s">
        <v>34</v>
      </c>
      <c r="C123" s="89"/>
      <c r="D123" s="90">
        <f>D87</f>
        <v>7049</v>
      </c>
      <c r="E123" s="90">
        <f t="shared" ref="E123:O123" si="45">E87</f>
        <v>7989</v>
      </c>
      <c r="F123" s="90">
        <f t="shared" si="45"/>
        <v>7643</v>
      </c>
      <c r="G123" s="90">
        <f t="shared" si="45"/>
        <v>6879</v>
      </c>
      <c r="H123" s="90">
        <f t="shared" si="45"/>
        <v>7211</v>
      </c>
      <c r="I123" s="90">
        <f t="shared" si="45"/>
        <v>8097</v>
      </c>
      <c r="J123" s="90">
        <f t="shared" si="45"/>
        <v>7050</v>
      </c>
      <c r="K123" s="90">
        <f t="shared" si="45"/>
        <v>5534</v>
      </c>
      <c r="L123" s="90">
        <f t="shared" si="45"/>
        <v>4900</v>
      </c>
      <c r="M123" s="90">
        <f t="shared" si="45"/>
        <v>5645</v>
      </c>
      <c r="N123" s="90">
        <f t="shared" si="45"/>
        <v>7516</v>
      </c>
      <c r="O123" s="90">
        <f t="shared" si="45"/>
        <v>7235</v>
      </c>
      <c r="P123" s="90">
        <f t="shared" ref="P123:P129" si="46">SUM(D123:O123)</f>
        <v>82748</v>
      </c>
    </row>
    <row r="124" spans="2:16" s="14" customFormat="1" ht="15" customHeight="1" x14ac:dyDescent="0.25">
      <c r="B124" s="91"/>
      <c r="C124" s="184" t="s">
        <v>94</v>
      </c>
      <c r="D124" s="92">
        <f>D123-D125</f>
        <v>3305</v>
      </c>
      <c r="E124" s="92">
        <f t="shared" ref="E124:O124" si="47">E123-E125</f>
        <v>3496</v>
      </c>
      <c r="F124" s="92">
        <f t="shared" si="47"/>
        <v>3677</v>
      </c>
      <c r="G124" s="92">
        <f t="shared" si="47"/>
        <v>3112</v>
      </c>
      <c r="H124" s="92">
        <f t="shared" si="47"/>
        <v>3667</v>
      </c>
      <c r="I124" s="92">
        <f t="shared" si="47"/>
        <v>3717</v>
      </c>
      <c r="J124" s="92">
        <f t="shared" si="47"/>
        <v>4813</v>
      </c>
      <c r="K124" s="92">
        <f t="shared" si="47"/>
        <v>3730</v>
      </c>
      <c r="L124" s="92">
        <f t="shared" si="47"/>
        <v>2915</v>
      </c>
      <c r="M124" s="92">
        <f t="shared" si="47"/>
        <v>3402</v>
      </c>
      <c r="N124" s="92">
        <f t="shared" si="47"/>
        <v>3836</v>
      </c>
      <c r="O124" s="92">
        <f t="shared" si="47"/>
        <v>3531</v>
      </c>
      <c r="P124" s="93">
        <f t="shared" si="46"/>
        <v>43201</v>
      </c>
    </row>
    <row r="125" spans="2:16" s="14" customFormat="1" ht="15" customHeight="1" x14ac:dyDescent="0.25">
      <c r="B125" s="95"/>
      <c r="C125" s="184" t="s">
        <v>95</v>
      </c>
      <c r="D125" s="92">
        <v>3744</v>
      </c>
      <c r="E125" s="92">
        <v>4493</v>
      </c>
      <c r="F125" s="92">
        <v>3966</v>
      </c>
      <c r="G125" s="92">
        <v>3767</v>
      </c>
      <c r="H125" s="92">
        <v>3544</v>
      </c>
      <c r="I125" s="92">
        <v>4380</v>
      </c>
      <c r="J125" s="92">
        <v>2237</v>
      </c>
      <c r="K125" s="92">
        <v>1804</v>
      </c>
      <c r="L125" s="92">
        <v>1985</v>
      </c>
      <c r="M125" s="92">
        <v>2243</v>
      </c>
      <c r="N125" s="92">
        <v>3680</v>
      </c>
      <c r="O125" s="92">
        <v>3704</v>
      </c>
      <c r="P125" s="93">
        <f t="shared" si="46"/>
        <v>39547</v>
      </c>
    </row>
    <row r="126" spans="2:16" s="14" customFormat="1" ht="15" customHeight="1" x14ac:dyDescent="0.25">
      <c r="B126" s="85"/>
      <c r="C126" s="85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8">
        <f t="shared" si="46"/>
        <v>0</v>
      </c>
    </row>
    <row r="127" spans="2:16" s="14" customFormat="1" ht="15" customHeight="1" x14ac:dyDescent="0.25">
      <c r="B127" s="88" t="s">
        <v>38</v>
      </c>
      <c r="C127" s="89"/>
      <c r="D127" s="90">
        <f t="shared" ref="D127:O127" si="48">D89</f>
        <v>3074</v>
      </c>
      <c r="E127" s="90">
        <f t="shared" si="48"/>
        <v>3077</v>
      </c>
      <c r="F127" s="90">
        <f t="shared" si="48"/>
        <v>4584</v>
      </c>
      <c r="G127" s="90">
        <f t="shared" si="48"/>
        <v>4404</v>
      </c>
      <c r="H127" s="90">
        <f t="shared" si="48"/>
        <v>4050</v>
      </c>
      <c r="I127" s="90">
        <f t="shared" si="48"/>
        <v>3523</v>
      </c>
      <c r="J127" s="90">
        <f t="shared" si="48"/>
        <v>3487</v>
      </c>
      <c r="K127" s="90">
        <f t="shared" si="48"/>
        <v>2990</v>
      </c>
      <c r="L127" s="90">
        <f t="shared" si="48"/>
        <v>2586</v>
      </c>
      <c r="M127" s="90">
        <f t="shared" si="48"/>
        <v>3183</v>
      </c>
      <c r="N127" s="90">
        <f t="shared" si="48"/>
        <v>3083</v>
      </c>
      <c r="O127" s="90">
        <f t="shared" si="48"/>
        <v>2498</v>
      </c>
      <c r="P127" s="90">
        <f t="shared" si="46"/>
        <v>40539</v>
      </c>
    </row>
    <row r="128" spans="2:16" s="14" customFormat="1" ht="15" customHeight="1" x14ac:dyDescent="0.25">
      <c r="B128" s="91"/>
      <c r="C128" s="184" t="s">
        <v>38</v>
      </c>
      <c r="D128" s="92">
        <f>D127-D129</f>
        <v>3055</v>
      </c>
      <c r="E128" s="92">
        <f t="shared" ref="E128:O128" si="49">E127-E129</f>
        <v>2897</v>
      </c>
      <c r="F128" s="92">
        <f t="shared" si="49"/>
        <v>3404</v>
      </c>
      <c r="G128" s="92">
        <f t="shared" si="49"/>
        <v>3854</v>
      </c>
      <c r="H128" s="92">
        <f t="shared" si="49"/>
        <v>3588</v>
      </c>
      <c r="I128" s="92">
        <f t="shared" si="49"/>
        <v>3084</v>
      </c>
      <c r="J128" s="92">
        <f t="shared" si="49"/>
        <v>2920</v>
      </c>
      <c r="K128" s="92">
        <f t="shared" si="49"/>
        <v>2608</v>
      </c>
      <c r="L128" s="92">
        <f t="shared" si="49"/>
        <v>2143</v>
      </c>
      <c r="M128" s="92">
        <f t="shared" si="49"/>
        <v>2569</v>
      </c>
      <c r="N128" s="92">
        <f t="shared" si="49"/>
        <v>2158</v>
      </c>
      <c r="O128" s="92">
        <f t="shared" si="49"/>
        <v>2243</v>
      </c>
      <c r="P128" s="93">
        <f t="shared" si="46"/>
        <v>34523</v>
      </c>
    </row>
    <row r="129" spans="2:16" s="14" customFormat="1" ht="15" customHeight="1" x14ac:dyDescent="0.25">
      <c r="B129" s="95"/>
      <c r="C129" s="184" t="s">
        <v>73</v>
      </c>
      <c r="D129" s="92">
        <v>19</v>
      </c>
      <c r="E129" s="92">
        <v>180</v>
      </c>
      <c r="F129" s="92">
        <v>1180</v>
      </c>
      <c r="G129" s="92">
        <v>550</v>
      </c>
      <c r="H129" s="92">
        <v>462</v>
      </c>
      <c r="I129" s="92">
        <v>439</v>
      </c>
      <c r="J129" s="92">
        <v>567</v>
      </c>
      <c r="K129" s="92">
        <v>382</v>
      </c>
      <c r="L129" s="92">
        <v>443</v>
      </c>
      <c r="M129" s="92">
        <v>614</v>
      </c>
      <c r="N129" s="92">
        <v>925</v>
      </c>
      <c r="O129" s="92">
        <v>255</v>
      </c>
      <c r="P129" s="93">
        <f t="shared" si="46"/>
        <v>6016</v>
      </c>
    </row>
    <row r="130" spans="2:16" s="14" customFormat="1" ht="13.2" x14ac:dyDescent="0.25"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</row>
    <row r="131" spans="2:16" s="14" customFormat="1" ht="13.2" x14ac:dyDescent="0.25">
      <c r="D131" s="291"/>
      <c r="E131" s="291"/>
      <c r="F131" s="291"/>
      <c r="G131" s="291"/>
      <c r="H131" s="291"/>
      <c r="I131" s="291"/>
      <c r="J131" s="291"/>
      <c r="K131" s="291"/>
      <c r="L131" s="15"/>
      <c r="M131" s="15"/>
      <c r="N131" s="15"/>
      <c r="O131" s="15"/>
    </row>
  </sheetData>
  <mergeCells count="12">
    <mergeCell ref="B5:B12"/>
    <mergeCell ref="B13:B24"/>
    <mergeCell ref="B25:B28"/>
    <mergeCell ref="B29:C29"/>
    <mergeCell ref="B30:B32"/>
    <mergeCell ref="B33:C33"/>
    <mergeCell ref="B96:C96"/>
    <mergeCell ref="B71:B78"/>
    <mergeCell ref="B79:B88"/>
    <mergeCell ref="B89:B91"/>
    <mergeCell ref="B92:C92"/>
    <mergeCell ref="B93:B95"/>
  </mergeCells>
  <phoneticPr fontId="2" type="noConversion"/>
  <printOptions horizontalCentered="1"/>
  <pageMargins left="0.23622047244094491" right="0.23622047244094491" top="0.59055118110236227" bottom="0.39370078740157483" header="0.31496062992125984" footer="0.19685039370078741"/>
  <pageSetup paperSize="9" scale="64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P88" formula="1"/>
    <ignoredError sqref="D78:P78 D12 E12:O12" formulaRange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showGridLines="0" view="pageBreakPreview" zoomScale="115" zoomScaleNormal="130" zoomScaleSheetLayoutView="115" workbookViewId="0">
      <selection activeCell="H12" sqref="H12"/>
    </sheetView>
  </sheetViews>
  <sheetFormatPr defaultColWidth="8.8984375" defaultRowHeight="17.399999999999999" x14ac:dyDescent="0.25"/>
  <cols>
    <col min="1" max="1" width="7.59765625" style="103" customWidth="1"/>
    <col min="2" max="2" width="6.296875" style="20" customWidth="1"/>
    <col min="3" max="3" width="9.59765625" style="103" customWidth="1"/>
    <col min="4" max="4" width="7.8984375" style="103" customWidth="1"/>
    <col min="5" max="5" width="10" style="103" customWidth="1"/>
    <col min="6" max="6" width="9.59765625" style="103" customWidth="1"/>
    <col min="7" max="7" width="7.8984375" style="103" customWidth="1"/>
    <col min="8" max="8" width="10" style="103" customWidth="1"/>
    <col min="9" max="9" width="9.59765625" style="103" customWidth="1"/>
    <col min="10" max="10" width="7.8984375" style="103" customWidth="1"/>
    <col min="11" max="11" width="10" style="103" customWidth="1"/>
    <col min="12" max="12" width="12.3984375" style="104" customWidth="1"/>
    <col min="13" max="13" width="11" style="103" customWidth="1"/>
    <col min="14" max="14" width="11.09765625" style="103" customWidth="1"/>
    <col min="15" max="15" width="9.3984375" style="103" bestFit="1" customWidth="1"/>
    <col min="16" max="16" width="9.09765625" style="103" customWidth="1"/>
    <col min="17" max="17" width="8.3984375" style="103" customWidth="1"/>
    <col min="18" max="18" width="10.296875" style="103" customWidth="1"/>
    <col min="19" max="16384" width="8.8984375" style="103"/>
  </cols>
  <sheetData>
    <row r="1" spans="1:13" ht="27.6" customHeight="1" x14ac:dyDescent="0.25">
      <c r="A1" s="386" t="s">
        <v>2</v>
      </c>
      <c r="B1" s="387"/>
      <c r="C1" s="390" t="s">
        <v>6</v>
      </c>
      <c r="D1" s="391"/>
      <c r="E1" s="392"/>
      <c r="F1" s="393" t="s">
        <v>7</v>
      </c>
      <c r="G1" s="394"/>
      <c r="H1" s="395"/>
      <c r="I1" s="396" t="s">
        <v>9</v>
      </c>
      <c r="J1" s="397"/>
      <c r="K1" s="398"/>
    </row>
    <row r="2" spans="1:13" ht="18" thickBot="1" x14ac:dyDescent="0.3">
      <c r="A2" s="388"/>
      <c r="B2" s="389"/>
      <c r="C2" s="213" t="s">
        <v>98</v>
      </c>
      <c r="D2" s="212" t="s">
        <v>82</v>
      </c>
      <c r="E2" s="208"/>
      <c r="F2" s="218" t="s">
        <v>98</v>
      </c>
      <c r="G2" s="212" t="s">
        <v>82</v>
      </c>
      <c r="H2" s="209"/>
      <c r="I2" s="223" t="s">
        <v>98</v>
      </c>
      <c r="J2" s="212" t="s">
        <v>82</v>
      </c>
      <c r="K2" s="197"/>
    </row>
    <row r="3" spans="1:13" ht="20.399999999999999" customHeight="1" x14ac:dyDescent="0.25">
      <c r="A3" s="399" t="s">
        <v>99</v>
      </c>
      <c r="B3" s="192">
        <v>1</v>
      </c>
      <c r="C3" s="214">
        <f>국내2!D29</f>
        <v>38403</v>
      </c>
      <c r="D3" s="193">
        <f>국내2!D32</f>
        <v>9</v>
      </c>
      <c r="E3" s="204">
        <f>C3+D3</f>
        <v>38412</v>
      </c>
      <c r="F3" s="219">
        <v>201300</v>
      </c>
      <c r="G3" s="193">
        <v>166</v>
      </c>
      <c r="H3" s="200">
        <f>F3+G3</f>
        <v>201466</v>
      </c>
      <c r="I3" s="224">
        <f t="shared" ref="I3:I14" si="0">C3+F3</f>
        <v>239703</v>
      </c>
      <c r="J3" s="193">
        <f>D3+G3</f>
        <v>175</v>
      </c>
      <c r="K3" s="198">
        <f>I3+J3</f>
        <v>239878</v>
      </c>
    </row>
    <row r="4" spans="1:13" ht="20.399999999999999" customHeight="1" x14ac:dyDescent="0.25">
      <c r="A4" s="399"/>
      <c r="B4" s="105">
        <v>2</v>
      </c>
      <c r="C4" s="214">
        <f>국내2!E29</f>
        <v>46003</v>
      </c>
      <c r="D4" s="194">
        <f>국내2!E32</f>
        <v>44</v>
      </c>
      <c r="E4" s="204">
        <f t="shared" ref="E4:E14" si="1">C4+D4</f>
        <v>46047</v>
      </c>
      <c r="F4" s="219">
        <v>208027</v>
      </c>
      <c r="G4" s="193">
        <v>341</v>
      </c>
      <c r="H4" s="200">
        <f t="shared" ref="H4:H14" si="2">F4+G4</f>
        <v>208368</v>
      </c>
      <c r="I4" s="224">
        <f t="shared" si="0"/>
        <v>254030</v>
      </c>
      <c r="J4" s="193">
        <f t="shared" ref="J4:J14" si="3">D4+G4</f>
        <v>385</v>
      </c>
      <c r="K4" s="210">
        <f t="shared" ref="K4:K14" si="4">I4+J4</f>
        <v>254415</v>
      </c>
    </row>
    <row r="5" spans="1:13" ht="20.399999999999999" customHeight="1" x14ac:dyDescent="0.25">
      <c r="A5" s="399"/>
      <c r="B5" s="105">
        <v>3</v>
      </c>
      <c r="C5" s="215">
        <f>국내2!F29</f>
        <v>50006</v>
      </c>
      <c r="D5" s="194">
        <v>99</v>
      </c>
      <c r="E5" s="205">
        <f t="shared" si="1"/>
        <v>50105</v>
      </c>
      <c r="F5" s="220">
        <v>228079</v>
      </c>
      <c r="G5" s="194">
        <v>171</v>
      </c>
      <c r="H5" s="201">
        <f t="shared" si="2"/>
        <v>228250</v>
      </c>
      <c r="I5" s="225">
        <f t="shared" si="0"/>
        <v>278085</v>
      </c>
      <c r="J5" s="194">
        <f t="shared" si="3"/>
        <v>270</v>
      </c>
      <c r="K5" s="210">
        <f t="shared" si="4"/>
        <v>278355</v>
      </c>
    </row>
    <row r="6" spans="1:13" ht="20.399999999999999" customHeight="1" x14ac:dyDescent="0.25">
      <c r="A6" s="399"/>
      <c r="B6" s="105">
        <v>4</v>
      </c>
      <c r="C6" s="215">
        <f>국내2!G29</f>
        <v>51005</v>
      </c>
      <c r="D6" s="194">
        <f>국내2!G32</f>
        <v>80</v>
      </c>
      <c r="E6" s="205">
        <f t="shared" si="1"/>
        <v>51085</v>
      </c>
      <c r="F6" s="220">
        <v>223145</v>
      </c>
      <c r="G6" s="194">
        <v>207</v>
      </c>
      <c r="H6" s="201">
        <f t="shared" si="2"/>
        <v>223352</v>
      </c>
      <c r="I6" s="225">
        <f t="shared" si="0"/>
        <v>274150</v>
      </c>
      <c r="J6" s="194">
        <f t="shared" si="3"/>
        <v>287</v>
      </c>
      <c r="K6" s="210">
        <f t="shared" si="4"/>
        <v>274437</v>
      </c>
    </row>
    <row r="7" spans="1:13" ht="20.399999999999999" customHeight="1" x14ac:dyDescent="0.25">
      <c r="A7" s="399"/>
      <c r="B7" s="105">
        <v>5</v>
      </c>
      <c r="C7" s="215">
        <f>국내2!H29</f>
        <v>45003</v>
      </c>
      <c r="D7" s="194">
        <f>국내2!H32</f>
        <v>122</v>
      </c>
      <c r="E7" s="205">
        <f t="shared" si="1"/>
        <v>45125</v>
      </c>
      <c r="F7" s="220">
        <v>225088</v>
      </c>
      <c r="G7" s="194">
        <v>211</v>
      </c>
      <c r="H7" s="201">
        <f t="shared" si="2"/>
        <v>225299</v>
      </c>
      <c r="I7" s="225">
        <f t="shared" si="0"/>
        <v>270091</v>
      </c>
      <c r="J7" s="194">
        <f t="shared" si="3"/>
        <v>333</v>
      </c>
      <c r="K7" s="210">
        <f t="shared" si="4"/>
        <v>270424</v>
      </c>
    </row>
    <row r="8" spans="1:13" ht="20.399999999999999" customHeight="1" x14ac:dyDescent="0.25">
      <c r="A8" s="399"/>
      <c r="B8" s="105">
        <v>6</v>
      </c>
      <c r="C8" s="215">
        <f>국내2!I29</f>
        <v>46003</v>
      </c>
      <c r="D8" s="194">
        <f>국내2!I32</f>
        <v>322</v>
      </c>
      <c r="E8" s="205">
        <f t="shared" si="1"/>
        <v>46325</v>
      </c>
      <c r="F8" s="220">
        <v>223377</v>
      </c>
      <c r="G8" s="194">
        <v>325</v>
      </c>
      <c r="H8" s="201">
        <f t="shared" si="2"/>
        <v>223702</v>
      </c>
      <c r="I8" s="225">
        <f t="shared" si="0"/>
        <v>269380</v>
      </c>
      <c r="J8" s="194">
        <f t="shared" si="3"/>
        <v>647</v>
      </c>
      <c r="K8" s="198">
        <f t="shared" si="4"/>
        <v>270027</v>
      </c>
    </row>
    <row r="9" spans="1:13" ht="20.399999999999999" customHeight="1" x14ac:dyDescent="0.25">
      <c r="A9" s="399"/>
      <c r="B9" s="105">
        <v>7</v>
      </c>
      <c r="C9" s="215">
        <f>국내2!J29</f>
        <v>45017</v>
      </c>
      <c r="D9" s="194">
        <f>국내2!J32</f>
        <v>116</v>
      </c>
      <c r="E9" s="205">
        <f t="shared" si="1"/>
        <v>45133</v>
      </c>
      <c r="F9" s="220">
        <v>217288</v>
      </c>
      <c r="G9" s="194">
        <v>386</v>
      </c>
      <c r="H9" s="201">
        <f t="shared" si="2"/>
        <v>217674</v>
      </c>
      <c r="I9" s="225">
        <f t="shared" si="0"/>
        <v>262305</v>
      </c>
      <c r="J9" s="194">
        <f t="shared" si="3"/>
        <v>502</v>
      </c>
      <c r="K9" s="210">
        <f t="shared" si="4"/>
        <v>262807</v>
      </c>
    </row>
    <row r="10" spans="1:13" ht="20.399999999999999" customHeight="1" x14ac:dyDescent="0.25">
      <c r="A10" s="399"/>
      <c r="B10" s="105">
        <v>8</v>
      </c>
      <c r="C10" s="215">
        <f>국내2!K29</f>
        <v>43501</v>
      </c>
      <c r="D10" s="194">
        <v>174</v>
      </c>
      <c r="E10" s="205">
        <f t="shared" si="1"/>
        <v>43675</v>
      </c>
      <c r="F10" s="220">
        <v>209901</v>
      </c>
      <c r="G10" s="194">
        <v>367</v>
      </c>
      <c r="H10" s="201">
        <f t="shared" si="2"/>
        <v>210268</v>
      </c>
      <c r="I10" s="225">
        <f t="shared" si="0"/>
        <v>253402</v>
      </c>
      <c r="J10" s="194">
        <f t="shared" si="3"/>
        <v>541</v>
      </c>
      <c r="K10" s="210">
        <f t="shared" si="4"/>
        <v>253943</v>
      </c>
    </row>
    <row r="11" spans="1:13" ht="20.399999999999999" customHeight="1" x14ac:dyDescent="0.25">
      <c r="A11" s="399"/>
      <c r="B11" s="105">
        <v>9</v>
      </c>
      <c r="C11" s="215">
        <f>국내2!L29</f>
        <v>49001</v>
      </c>
      <c r="D11" s="194">
        <f>국내2!L32</f>
        <v>200</v>
      </c>
      <c r="E11" s="205">
        <f t="shared" si="1"/>
        <v>49201</v>
      </c>
      <c r="F11" s="220">
        <v>218929</v>
      </c>
      <c r="G11" s="194">
        <v>257</v>
      </c>
      <c r="H11" s="201">
        <f t="shared" si="2"/>
        <v>219186</v>
      </c>
      <c r="I11" s="225">
        <f t="shared" si="0"/>
        <v>267930</v>
      </c>
      <c r="J11" s="194">
        <f t="shared" si="3"/>
        <v>457</v>
      </c>
      <c r="K11" s="210">
        <f t="shared" si="4"/>
        <v>268387</v>
      </c>
    </row>
    <row r="12" spans="1:13" ht="20.399999999999999" customHeight="1" x14ac:dyDescent="0.25">
      <c r="A12" s="399"/>
      <c r="B12" s="105">
        <v>10</v>
      </c>
      <c r="C12" s="215">
        <f>국내2!M29</f>
        <v>40001</v>
      </c>
      <c r="D12" s="194">
        <f>국내2!M32</f>
        <v>343</v>
      </c>
      <c r="E12" s="205">
        <f t="shared" si="1"/>
        <v>40344</v>
      </c>
      <c r="F12" s="220">
        <v>223014</v>
      </c>
      <c r="G12" s="194">
        <v>546</v>
      </c>
      <c r="H12" s="201">
        <f t="shared" si="2"/>
        <v>223560</v>
      </c>
      <c r="I12" s="225">
        <f t="shared" si="0"/>
        <v>263015</v>
      </c>
      <c r="J12" s="194">
        <f t="shared" si="3"/>
        <v>889</v>
      </c>
      <c r="K12" s="210">
        <f t="shared" si="4"/>
        <v>263904</v>
      </c>
    </row>
    <row r="13" spans="1:13" ht="20.399999999999999" customHeight="1" x14ac:dyDescent="0.25">
      <c r="A13" s="399"/>
      <c r="B13" s="105">
        <v>11</v>
      </c>
      <c r="C13" s="215">
        <f>국내2!N29</f>
        <v>0</v>
      </c>
      <c r="D13" s="194">
        <f>국내2!N32</f>
        <v>0</v>
      </c>
      <c r="E13" s="205">
        <f t="shared" si="1"/>
        <v>0</v>
      </c>
      <c r="F13" s="220"/>
      <c r="G13" s="194"/>
      <c r="H13" s="201">
        <f t="shared" si="2"/>
        <v>0</v>
      </c>
      <c r="I13" s="225">
        <f t="shared" si="0"/>
        <v>0</v>
      </c>
      <c r="J13" s="194">
        <f t="shared" si="3"/>
        <v>0</v>
      </c>
      <c r="K13" s="198">
        <f t="shared" si="4"/>
        <v>0</v>
      </c>
      <c r="M13" s="327"/>
    </row>
    <row r="14" spans="1:13" ht="20.399999999999999" customHeight="1" thickBot="1" x14ac:dyDescent="0.3">
      <c r="A14" s="399"/>
      <c r="B14" s="106">
        <v>12</v>
      </c>
      <c r="C14" s="216">
        <f>국내2!O29</f>
        <v>0</v>
      </c>
      <c r="D14" s="195">
        <f>국내2!O32</f>
        <v>0</v>
      </c>
      <c r="E14" s="206">
        <f t="shared" si="1"/>
        <v>0</v>
      </c>
      <c r="F14" s="221"/>
      <c r="G14" s="195"/>
      <c r="H14" s="202">
        <f t="shared" si="2"/>
        <v>0</v>
      </c>
      <c r="I14" s="226">
        <f t="shared" si="0"/>
        <v>0</v>
      </c>
      <c r="J14" s="195">
        <f t="shared" si="3"/>
        <v>0</v>
      </c>
      <c r="K14" s="211">
        <f t="shared" si="4"/>
        <v>0</v>
      </c>
    </row>
    <row r="15" spans="1:13" ht="26.4" customHeight="1" thickTop="1" thickBot="1" x14ac:dyDescent="0.3">
      <c r="A15" s="400"/>
      <c r="B15" s="129" t="s">
        <v>9</v>
      </c>
      <c r="C15" s="217">
        <f>SUM(C3:C14)</f>
        <v>453943</v>
      </c>
      <c r="D15" s="196">
        <f>SUM(D3:D14)</f>
        <v>1509</v>
      </c>
      <c r="E15" s="207">
        <f t="shared" ref="E15:K15" si="5">SUM(E3:E14)</f>
        <v>455452</v>
      </c>
      <c r="F15" s="222">
        <f t="shared" si="5"/>
        <v>2178148</v>
      </c>
      <c r="G15" s="196">
        <f t="shared" si="5"/>
        <v>2977</v>
      </c>
      <c r="H15" s="203">
        <f t="shared" si="5"/>
        <v>2181125</v>
      </c>
      <c r="I15" s="227">
        <f t="shared" si="5"/>
        <v>2632091</v>
      </c>
      <c r="J15" s="196">
        <f t="shared" si="5"/>
        <v>4486</v>
      </c>
      <c r="K15" s="199">
        <f t="shared" si="5"/>
        <v>2636577</v>
      </c>
    </row>
    <row r="16" spans="1:13" ht="18" thickBot="1" x14ac:dyDescent="0.3"/>
    <row r="17" spans="1:11" ht="27.6" customHeight="1" x14ac:dyDescent="0.25">
      <c r="A17" s="386" t="s">
        <v>2</v>
      </c>
      <c r="B17" s="387"/>
      <c r="C17" s="390" t="s">
        <v>6</v>
      </c>
      <c r="D17" s="391"/>
      <c r="E17" s="392"/>
      <c r="F17" s="393" t="s">
        <v>7</v>
      </c>
      <c r="G17" s="394"/>
      <c r="H17" s="395"/>
      <c r="I17" s="396" t="s">
        <v>9</v>
      </c>
      <c r="J17" s="397"/>
      <c r="K17" s="398"/>
    </row>
    <row r="18" spans="1:11" ht="18" thickBot="1" x14ac:dyDescent="0.3">
      <c r="A18" s="388"/>
      <c r="B18" s="389"/>
      <c r="C18" s="213" t="s">
        <v>98</v>
      </c>
      <c r="D18" s="212" t="s">
        <v>82</v>
      </c>
      <c r="E18" s="208"/>
      <c r="F18" s="218" t="s">
        <v>98</v>
      </c>
      <c r="G18" s="212" t="s">
        <v>82</v>
      </c>
      <c r="H18" s="209"/>
      <c r="I18" s="223" t="s">
        <v>98</v>
      </c>
      <c r="J18" s="212" t="s">
        <v>82</v>
      </c>
      <c r="K18" s="197"/>
    </row>
    <row r="19" spans="1:11" ht="20.399999999999999" customHeight="1" x14ac:dyDescent="0.25">
      <c r="A19" s="399" t="s">
        <v>100</v>
      </c>
      <c r="B19" s="192">
        <v>1</v>
      </c>
      <c r="C19" s="214">
        <f>국내2!D92</f>
        <v>44608</v>
      </c>
      <c r="D19" s="193">
        <f>국내2!D95</f>
        <v>75</v>
      </c>
      <c r="E19" s="204">
        <f>C19+D19</f>
        <v>44683</v>
      </c>
      <c r="F19" s="219">
        <v>200794</v>
      </c>
      <c r="G19" s="193">
        <v>109</v>
      </c>
      <c r="H19" s="200">
        <f>F19+G19</f>
        <v>200903</v>
      </c>
      <c r="I19" s="224">
        <f t="shared" ref="I19:I30" si="6">C19+F19</f>
        <v>245402</v>
      </c>
      <c r="J19" s="193">
        <f>D19+G19</f>
        <v>184</v>
      </c>
      <c r="K19" s="198">
        <f>I19+J19</f>
        <v>245586</v>
      </c>
    </row>
    <row r="20" spans="1:11" ht="20.399999999999999" customHeight="1" x14ac:dyDescent="0.25">
      <c r="A20" s="399"/>
      <c r="B20" s="105">
        <v>2</v>
      </c>
      <c r="C20" s="215">
        <f>국내2!E92</f>
        <v>44008</v>
      </c>
      <c r="D20" s="194">
        <f>국내2!E95</f>
        <v>68</v>
      </c>
      <c r="E20" s="204">
        <f t="shared" ref="E20:E30" si="7">C20+D20</f>
        <v>44076</v>
      </c>
      <c r="F20" s="219">
        <v>198636</v>
      </c>
      <c r="G20" s="193">
        <v>205</v>
      </c>
      <c r="H20" s="200">
        <f t="shared" ref="H20:H30" si="8">F20+G20</f>
        <v>198841</v>
      </c>
      <c r="I20" s="224">
        <f t="shared" si="6"/>
        <v>242644</v>
      </c>
      <c r="J20" s="193">
        <f t="shared" ref="J20:J30" si="9">D20+G20</f>
        <v>273</v>
      </c>
      <c r="K20" s="210">
        <f t="shared" ref="K20:K30" si="10">I20+J20</f>
        <v>242917</v>
      </c>
    </row>
    <row r="21" spans="1:11" ht="20.399999999999999" customHeight="1" x14ac:dyDescent="0.25">
      <c r="A21" s="399"/>
      <c r="B21" s="105">
        <v>3</v>
      </c>
      <c r="C21" s="215">
        <f>국내2!F92</f>
        <v>49006</v>
      </c>
      <c r="D21" s="194">
        <f>국내2!F95</f>
        <v>106</v>
      </c>
      <c r="E21" s="205">
        <f t="shared" si="7"/>
        <v>49112</v>
      </c>
      <c r="F21" s="220">
        <v>222713</v>
      </c>
      <c r="G21" s="194">
        <v>186</v>
      </c>
      <c r="H21" s="201">
        <f t="shared" si="8"/>
        <v>222899</v>
      </c>
      <c r="I21" s="225">
        <f t="shared" si="6"/>
        <v>271719</v>
      </c>
      <c r="J21" s="194">
        <f t="shared" si="9"/>
        <v>292</v>
      </c>
      <c r="K21" s="210">
        <f t="shared" si="10"/>
        <v>272011</v>
      </c>
    </row>
    <row r="22" spans="1:11" ht="20.399999999999999" customHeight="1" x14ac:dyDescent="0.25">
      <c r="A22" s="399"/>
      <c r="B22" s="105">
        <v>4</v>
      </c>
      <c r="C22" s="215">
        <f>국내2!G92</f>
        <v>47505</v>
      </c>
      <c r="D22" s="194">
        <f>국내2!G95</f>
        <v>126</v>
      </c>
      <c r="E22" s="205">
        <f t="shared" si="7"/>
        <v>47631</v>
      </c>
      <c r="F22" s="220">
        <v>213327</v>
      </c>
      <c r="G22" s="194">
        <v>325</v>
      </c>
      <c r="H22" s="201">
        <f t="shared" si="8"/>
        <v>213652</v>
      </c>
      <c r="I22" s="225">
        <f t="shared" si="6"/>
        <v>260832</v>
      </c>
      <c r="J22" s="194">
        <f t="shared" si="9"/>
        <v>451</v>
      </c>
      <c r="K22" s="210">
        <f t="shared" si="10"/>
        <v>261283</v>
      </c>
    </row>
    <row r="23" spans="1:11" ht="20.399999999999999" customHeight="1" x14ac:dyDescent="0.25">
      <c r="A23" s="399"/>
      <c r="B23" s="105">
        <v>5</v>
      </c>
      <c r="C23" s="215">
        <f>국내2!H92</f>
        <v>46110</v>
      </c>
      <c r="D23" s="194">
        <f>국내2!H95</f>
        <v>125</v>
      </c>
      <c r="E23" s="205">
        <f t="shared" si="7"/>
        <v>46235</v>
      </c>
      <c r="F23" s="220">
        <v>218204</v>
      </c>
      <c r="G23" s="194">
        <v>260</v>
      </c>
      <c r="H23" s="201">
        <f t="shared" si="8"/>
        <v>218464</v>
      </c>
      <c r="I23" s="225">
        <f t="shared" si="6"/>
        <v>264314</v>
      </c>
      <c r="J23" s="194">
        <f t="shared" si="9"/>
        <v>385</v>
      </c>
      <c r="K23" s="210">
        <f t="shared" si="10"/>
        <v>264699</v>
      </c>
    </row>
    <row r="24" spans="1:11" ht="20.399999999999999" customHeight="1" x14ac:dyDescent="0.25">
      <c r="A24" s="399"/>
      <c r="B24" s="105">
        <v>6</v>
      </c>
      <c r="C24" s="215">
        <f>국내2!I92</f>
        <v>44003</v>
      </c>
      <c r="D24" s="194">
        <f>국내2!I95</f>
        <v>281</v>
      </c>
      <c r="E24" s="205">
        <f t="shared" si="7"/>
        <v>44284</v>
      </c>
      <c r="F24" s="220">
        <v>224728</v>
      </c>
      <c r="G24" s="194">
        <v>189</v>
      </c>
      <c r="H24" s="201">
        <f t="shared" si="8"/>
        <v>224917</v>
      </c>
      <c r="I24" s="225">
        <f t="shared" si="6"/>
        <v>268731</v>
      </c>
      <c r="J24" s="194">
        <f t="shared" si="9"/>
        <v>470</v>
      </c>
      <c r="K24" s="198">
        <f t="shared" si="10"/>
        <v>269201</v>
      </c>
    </row>
    <row r="25" spans="1:11" ht="20.399999999999999" customHeight="1" x14ac:dyDescent="0.25">
      <c r="A25" s="399"/>
      <c r="B25" s="105">
        <v>7</v>
      </c>
      <c r="C25" s="215">
        <f>국내2!J92</f>
        <v>46010</v>
      </c>
      <c r="D25" s="194">
        <f>국내2!J95</f>
        <v>228</v>
      </c>
      <c r="E25" s="205">
        <f t="shared" si="7"/>
        <v>46238</v>
      </c>
      <c r="F25" s="220">
        <v>215188</v>
      </c>
      <c r="G25" s="194">
        <v>372</v>
      </c>
      <c r="H25" s="201">
        <f t="shared" si="8"/>
        <v>215560</v>
      </c>
      <c r="I25" s="225">
        <f t="shared" si="6"/>
        <v>261198</v>
      </c>
      <c r="J25" s="194">
        <f t="shared" si="9"/>
        <v>600</v>
      </c>
      <c r="K25" s="210">
        <f t="shared" si="10"/>
        <v>261798</v>
      </c>
    </row>
    <row r="26" spans="1:11" ht="20.399999999999999" customHeight="1" x14ac:dyDescent="0.25">
      <c r="A26" s="399"/>
      <c r="B26" s="105">
        <v>8</v>
      </c>
      <c r="C26" s="215">
        <f>국내2!K92</f>
        <v>40510</v>
      </c>
      <c r="D26" s="194">
        <f>국내2!K94</f>
        <v>174</v>
      </c>
      <c r="E26" s="205">
        <f t="shared" si="7"/>
        <v>40684</v>
      </c>
      <c r="F26" s="220">
        <v>210765</v>
      </c>
      <c r="G26" s="194">
        <v>471</v>
      </c>
      <c r="H26" s="201">
        <f t="shared" si="8"/>
        <v>211236</v>
      </c>
      <c r="I26" s="225">
        <f t="shared" si="6"/>
        <v>251275</v>
      </c>
      <c r="J26" s="194">
        <f t="shared" si="9"/>
        <v>645</v>
      </c>
      <c r="K26" s="210">
        <f t="shared" si="10"/>
        <v>251920</v>
      </c>
    </row>
    <row r="27" spans="1:11" ht="20.399999999999999" customHeight="1" x14ac:dyDescent="0.25">
      <c r="A27" s="399"/>
      <c r="B27" s="105">
        <v>9</v>
      </c>
      <c r="C27" s="215">
        <f>국내2!L92</f>
        <v>38140</v>
      </c>
      <c r="D27" s="194">
        <f>국내2!L95</f>
        <v>129</v>
      </c>
      <c r="E27" s="205">
        <f t="shared" si="7"/>
        <v>38269</v>
      </c>
      <c r="F27" s="220">
        <v>211060</v>
      </c>
      <c r="G27" s="194">
        <v>571</v>
      </c>
      <c r="H27" s="201">
        <f t="shared" si="8"/>
        <v>211631</v>
      </c>
      <c r="I27" s="225">
        <f t="shared" si="6"/>
        <v>249200</v>
      </c>
      <c r="J27" s="194">
        <f t="shared" si="9"/>
        <v>700</v>
      </c>
      <c r="K27" s="210">
        <f t="shared" si="10"/>
        <v>249900</v>
      </c>
    </row>
    <row r="28" spans="1:11" ht="20.399999999999999" customHeight="1" x14ac:dyDescent="0.25">
      <c r="A28" s="399"/>
      <c r="B28" s="105">
        <v>10</v>
      </c>
      <c r="C28" s="215">
        <f>국내2!M92</f>
        <v>46025</v>
      </c>
      <c r="D28" s="194">
        <f>국내2!M95</f>
        <v>385</v>
      </c>
      <c r="E28" s="205">
        <f t="shared" si="7"/>
        <v>46410</v>
      </c>
      <c r="F28" s="220">
        <v>218389</v>
      </c>
      <c r="G28" s="194">
        <v>545</v>
      </c>
      <c r="H28" s="201">
        <f t="shared" si="8"/>
        <v>218934</v>
      </c>
      <c r="I28" s="225">
        <f t="shared" si="6"/>
        <v>264414</v>
      </c>
      <c r="J28" s="194">
        <f t="shared" si="9"/>
        <v>930</v>
      </c>
      <c r="K28" s="210">
        <f t="shared" si="10"/>
        <v>265344</v>
      </c>
    </row>
    <row r="29" spans="1:11" ht="20.399999999999999" customHeight="1" x14ac:dyDescent="0.25">
      <c r="A29" s="399"/>
      <c r="B29" s="105">
        <v>11</v>
      </c>
      <c r="C29" s="215">
        <f>국내2!N92</f>
        <v>48015</v>
      </c>
      <c r="D29" s="194">
        <f>국내2!N95</f>
        <v>177</v>
      </c>
      <c r="E29" s="205">
        <f t="shared" si="7"/>
        <v>48192</v>
      </c>
      <c r="F29" s="220">
        <v>215595</v>
      </c>
      <c r="G29" s="194">
        <v>399</v>
      </c>
      <c r="H29" s="201">
        <f t="shared" si="8"/>
        <v>215994</v>
      </c>
      <c r="I29" s="225">
        <f t="shared" si="6"/>
        <v>263610</v>
      </c>
      <c r="J29" s="194">
        <f t="shared" si="9"/>
        <v>576</v>
      </c>
      <c r="K29" s="198">
        <f t="shared" si="10"/>
        <v>264186</v>
      </c>
    </row>
    <row r="30" spans="1:11" ht="20.399999999999999" customHeight="1" thickBot="1" x14ac:dyDescent="0.3">
      <c r="A30" s="399"/>
      <c r="B30" s="106">
        <v>12</v>
      </c>
      <c r="C30" s="216">
        <f>국내2!O92</f>
        <v>46070</v>
      </c>
      <c r="D30" s="195">
        <f>국내2!O95</f>
        <v>262</v>
      </c>
      <c r="E30" s="206">
        <f t="shared" si="7"/>
        <v>46332</v>
      </c>
      <c r="F30" s="221">
        <v>193769</v>
      </c>
      <c r="G30" s="195">
        <v>354</v>
      </c>
      <c r="H30" s="202">
        <f t="shared" si="8"/>
        <v>194123</v>
      </c>
      <c r="I30" s="226">
        <f t="shared" si="6"/>
        <v>239839</v>
      </c>
      <c r="J30" s="195">
        <f t="shared" si="9"/>
        <v>616</v>
      </c>
      <c r="K30" s="211">
        <f t="shared" si="10"/>
        <v>240455</v>
      </c>
    </row>
    <row r="31" spans="1:11" ht="26.4" customHeight="1" thickTop="1" thickBot="1" x14ac:dyDescent="0.3">
      <c r="A31" s="400"/>
      <c r="B31" s="129" t="s">
        <v>9</v>
      </c>
      <c r="C31" s="217">
        <f>SUM(C19:C30)</f>
        <v>540010</v>
      </c>
      <c r="D31" s="196">
        <f>SUM(D19:D30)</f>
        <v>2136</v>
      </c>
      <c r="E31" s="207">
        <f t="shared" ref="E31:K31" si="11">SUM(E19:E30)</f>
        <v>542146</v>
      </c>
      <c r="F31" s="222">
        <f t="shared" si="11"/>
        <v>2543168</v>
      </c>
      <c r="G31" s="196">
        <f t="shared" si="11"/>
        <v>3986</v>
      </c>
      <c r="H31" s="203">
        <f t="shared" si="11"/>
        <v>2547154</v>
      </c>
      <c r="I31" s="227">
        <f t="shared" si="11"/>
        <v>3083178</v>
      </c>
      <c r="J31" s="196">
        <f t="shared" si="11"/>
        <v>6122</v>
      </c>
      <c r="K31" s="199">
        <f t="shared" si="11"/>
        <v>3089300</v>
      </c>
    </row>
  </sheetData>
  <mergeCells count="10">
    <mergeCell ref="A17:B18"/>
    <mergeCell ref="C17:E17"/>
    <mergeCell ref="F17:H17"/>
    <mergeCell ref="I17:K17"/>
    <mergeCell ref="A19:A31"/>
    <mergeCell ref="A1:B2"/>
    <mergeCell ref="C1:E1"/>
    <mergeCell ref="F1:H1"/>
    <mergeCell ref="I1:K1"/>
    <mergeCell ref="A3:A15"/>
  </mergeCells>
  <phoneticPr fontId="2" type="noConversion"/>
  <pageMargins left="0.66" right="0.19685039370078741" top="0.39370078740157483" bottom="0.39370078740157483" header="0" footer="0"/>
  <pageSetup paperSize="9" scale="80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35A75C3F2C6804095235FFA28CDA982" ma:contentTypeVersion="19" ma:contentTypeDescription="새 문서를 만듭니다." ma:contentTypeScope="" ma:versionID="9611c2d74dab79cbf24787a587b7d87f">
  <xsd:schema xmlns:xsd="http://www.w3.org/2001/XMLSchema" xmlns:xs="http://www.w3.org/2001/XMLSchema" xmlns:p="http://schemas.microsoft.com/office/2006/metadata/properties" xmlns:ns2="0140510f-3e5d-4b2a-bc1c-6b87dfd2ad3f" xmlns:ns3="7a0261ed-ec44-4896-a6b6-a00d24a749de" targetNamespace="http://schemas.microsoft.com/office/2006/metadata/properties" ma:root="true" ma:fieldsID="7f2a91be54845dfebbddfddbaf2e3513" ns2:_="" ns3:_="">
    <xsd:import namespace="0140510f-3e5d-4b2a-bc1c-6b87dfd2ad3f"/>
    <xsd:import namespace="7a0261ed-ec44-4896-a6b6-a00d24a74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40510f-3e5d-4b2a-bc1c-6b87dfd2ad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717ace68-1afd-4538-93f6-185096839b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0261ed-ec44-4896-a6b6-a00d24a749d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a2337c-d90e-4339-b131-d26cf1b6f656}" ma:internalName="TaxCatchAll" ma:showField="CatchAllData" ma:web="7a0261ed-ec44-4896-a6b6-a00d24a74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40510f-3e5d-4b2a-bc1c-6b87dfd2ad3f">
      <Terms xmlns="http://schemas.microsoft.com/office/infopath/2007/PartnerControls"/>
    </lcf76f155ced4ddcb4097134ff3c332f>
    <TaxCatchAll xmlns="7a0261ed-ec44-4896-a6b6-a00d24a749d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3652FB-56AF-4345-9E11-E274F4FD3A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40510f-3e5d-4b2a-bc1c-6b87dfd2ad3f"/>
    <ds:schemaRef ds:uri="7a0261ed-ec44-4896-a6b6-a00d24a7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74B91E4-3DC2-43E8-9E9C-29EEA898AEC2}">
  <ds:schemaRefs>
    <ds:schemaRef ds:uri="http://schemas.microsoft.com/office/2006/metadata/properties"/>
    <ds:schemaRef ds:uri="http://schemas.microsoft.com/office/infopath/2007/PartnerControls"/>
    <ds:schemaRef ds:uri="0140510f-3e5d-4b2a-bc1c-6b87dfd2ad3f"/>
    <ds:schemaRef ds:uri="7a0261ed-ec44-4896-a6b6-a00d24a749de"/>
  </ds:schemaRefs>
</ds:datastoreItem>
</file>

<file path=customXml/itemProps3.xml><?xml version="1.0" encoding="utf-8"?>
<ds:datastoreItem xmlns:ds="http://schemas.openxmlformats.org/officeDocument/2006/customXml" ds:itemID="{0870BA7C-DD4E-419D-AE7F-2837EB328F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국내1</vt:lpstr>
      <vt:lpstr>국내2</vt:lpstr>
      <vt:lpstr>⊙ 월별</vt:lpstr>
      <vt:lpstr>'⊙ 월별'!Print_Area</vt:lpstr>
      <vt:lpstr>국내1!Print_Area</vt:lpstr>
      <vt:lpstr>국내2!Print_Area</vt:lpstr>
      <vt:lpstr>종합!Print_Area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</dc:creator>
  <cp:keywords/>
  <dc:description/>
  <cp:lastModifiedBy>이원범 매니저 언론홍보1팀</cp:lastModifiedBy>
  <cp:revision/>
  <dcterms:created xsi:type="dcterms:W3CDTF">2011-08-30T23:40:38Z</dcterms:created>
  <dcterms:modified xsi:type="dcterms:W3CDTF">2025-11-03T05:26:41Z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883e49-c40c-4c70-af6e-4047d87bba49_Enabled">
    <vt:lpwstr>true</vt:lpwstr>
  </property>
  <property fmtid="{D5CDD505-2E9C-101B-9397-08002B2CF9AE}" pid="3" name="MSIP_Label_84883e49-c40c-4c70-af6e-4047d87bba49_SetDate">
    <vt:lpwstr>2025-03-04T05:04:16Z</vt:lpwstr>
  </property>
  <property fmtid="{D5CDD505-2E9C-101B-9397-08002B2CF9AE}" pid="4" name="MSIP_Label_84883e49-c40c-4c70-af6e-4047d87bba49_Method">
    <vt:lpwstr>Privileged</vt:lpwstr>
  </property>
  <property fmtid="{D5CDD505-2E9C-101B-9397-08002B2CF9AE}" pid="5" name="MSIP_Label_84883e49-c40c-4c70-af6e-4047d87bba49_Name">
    <vt:lpwstr>평문 (AnyUser)</vt:lpwstr>
  </property>
  <property fmtid="{D5CDD505-2E9C-101B-9397-08002B2CF9AE}" pid="6" name="MSIP_Label_84883e49-c40c-4c70-af6e-4047d87bba49_SiteId">
    <vt:lpwstr>f85ca5f1-aa23-4252-a83a-443d333b1fe7</vt:lpwstr>
  </property>
  <property fmtid="{D5CDD505-2E9C-101B-9397-08002B2CF9AE}" pid="7" name="MSIP_Label_84883e49-c40c-4c70-af6e-4047d87bba49_ActionId">
    <vt:lpwstr>51c75ba8-e972-4f24-9795-d11c30f25bb9</vt:lpwstr>
  </property>
  <property fmtid="{D5CDD505-2E9C-101B-9397-08002B2CF9AE}" pid="8" name="MSIP_Label_84883e49-c40c-4c70-af6e-4047d87bba49_ContentBits">
    <vt:lpwstr>2</vt:lpwstr>
  </property>
  <property fmtid="{D5CDD505-2E9C-101B-9397-08002B2CF9AE}" pid="9" name="MSIP_Label_84883e49-c40c-4c70-af6e-4047d87bba49_Tag">
    <vt:lpwstr>10, 0, 1, 1</vt:lpwstr>
  </property>
  <property fmtid="{D5CDD505-2E9C-101B-9397-08002B2CF9AE}" pid="10" name="ContentTypeId">
    <vt:lpwstr>0x010100E35A75C3F2C6804095235FFA28CDA982</vt:lpwstr>
  </property>
  <property fmtid="{D5CDD505-2E9C-101B-9397-08002B2CF9AE}" pid="11" name="MediaServiceImageTags">
    <vt:lpwstr/>
  </property>
</Properties>
</file>